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showInkAnnotation="0" codeName="ThisWorkbook" defaultThemeVersion="124226"/>
  <mc:AlternateContent xmlns:mc="http://schemas.openxmlformats.org/markup-compatibility/2006">
    <mc:Choice Requires="x15">
      <x15ac:absPath xmlns:x15ac="http://schemas.microsoft.com/office/spreadsheetml/2010/11/ac" url="S:\Engineering Policy Guide\Figures\"/>
    </mc:Choice>
  </mc:AlternateContent>
  <xr:revisionPtr revIDLastSave="0" documentId="8_{DD35E0FC-8BDA-42D1-BE39-C331397A515F}" xr6:coauthVersionLast="45" xr6:coauthVersionMax="45" xr10:uidLastSave="{00000000-0000-0000-0000-000000000000}"/>
  <bookViews>
    <workbookView xWindow="-120" yWindow="-120" windowWidth="29040" windowHeight="15840" tabRatio="638" xr2:uid="{00000000-000D-0000-FFFF-FFFF00000000}"/>
  </bookViews>
  <sheets>
    <sheet name="GUARDRAIL LON" sheetId="18" r:id="rId1"/>
    <sheet name="AASHTO Figure 3-2" sheetId="17" r:id="rId2"/>
    <sheet name="FHWA Tables 2.1 and 2.2" sheetId="19" r:id="rId3"/>
    <sheet name="AASHTO Table 3.1" sheetId="8" r:id="rId4"/>
    <sheet name="AASHTO Table 3.2" sheetId="12" r:id="rId5"/>
    <sheet name="AASHTO Table 5-7" sheetId="13" r:id="rId6"/>
    <sheet name="AASHTO Table 5-9" sheetId="14" r:id="rId7"/>
    <sheet name="AASHTO Table 5-10 (b)" sheetId="10" r:id="rId8"/>
    <sheet name="MASH CRASHWORTHY END TERMINALS" sheetId="15" r:id="rId9"/>
    <sheet name="other information" sheetId="16" r:id="rId10"/>
  </sheets>
  <definedNames>
    <definedName name="_Barrier" localSheetId="3">'AASHTO Table 3.1'!#REF!</definedName>
    <definedName name="_Barrier" localSheetId="7">'AASHTO Table 5-10 (b)'!#REF!</definedName>
    <definedName name="_Barrier" localSheetId="5">'AASHTO Table 5-7'!#REF!</definedName>
    <definedName name="_Barrier" localSheetId="6">'AASHTO Table 5-9'!#REF!</definedName>
    <definedName name="_Barrier" localSheetId="2">'FHWA Tables 2.1 and 2.2'!#REF!</definedName>
    <definedName name="_L2" localSheetId="3">'AASHTO Table 3.1'!#REF!</definedName>
    <definedName name="_L2" localSheetId="7">'AASHTO Table 5-10 (b)'!#REF!</definedName>
    <definedName name="_L2" localSheetId="5">'AASHTO Table 5-7'!#REF!</definedName>
    <definedName name="_L2" localSheetId="6">'AASHTO Table 5-9'!#REF!</definedName>
    <definedName name="_L2" localSheetId="2">'FHWA Tables 2.1 and 2.2'!#REF!</definedName>
    <definedName name="_L2" localSheetId="0">'GUARDRAIL LON'!$L$7:$L$46</definedName>
    <definedName name="_Rail" localSheetId="0">'GUARDRAIL LON'!$J$18:$J$19</definedName>
    <definedName name="Adjacent" localSheetId="7">'AASHTO Table 5-10 (b)'!#REF!</definedName>
    <definedName name="Adjacent" localSheetId="5">'AASHTO Table 5-7'!#REF!</definedName>
    <definedName name="Adjacent" localSheetId="6">'AASHTO Table 5-9'!#REF!</definedName>
    <definedName name="Adjacent_Flared_Rigid" localSheetId="0">'GUARDRAIL LON'!$N$55:$N$63</definedName>
    <definedName name="Adjacent_Flared_Rigid">#REF!</definedName>
    <definedName name="Adjacent_Flared_Semi_Rigid" localSheetId="0">'GUARDRAIL LON'!$N$65:$N$73</definedName>
    <definedName name="Adjacent_Flared_Semi_Rigid">#REF!</definedName>
    <definedName name="Adjacent_Parallel" localSheetId="0">'GUARDRAIL LON'!$N$4:$N$12</definedName>
    <definedName name="Adjacent_Parallel">#REF!</definedName>
    <definedName name="ADT" localSheetId="3">'AASHTO Table 3.1'!#REF!</definedName>
    <definedName name="ADT" localSheetId="7">'AASHTO Table 5-10 (b)'!#REF!</definedName>
    <definedName name="ADT" localSheetId="5">'AASHTO Table 5-7'!#REF!</definedName>
    <definedName name="ADT" localSheetId="6">'AASHTO Table 5-9'!#REF!</definedName>
    <definedName name="ADT" localSheetId="2">'FHWA Tables 2.1 and 2.2'!#REF!</definedName>
    <definedName name="ADT" localSheetId="0">'GUARDRAIL LON'!$J$13:$J$17</definedName>
    <definedName name="Barrier" localSheetId="3">'AASHTO Table 3.1'!#REF!</definedName>
    <definedName name="Barrier" localSheetId="7">'AASHTO Table 5-10 (b)'!#REF!</definedName>
    <definedName name="Barrier" localSheetId="5">'AASHTO Table 5-7'!#REF!</definedName>
    <definedName name="Barrier" localSheetId="6">'AASHTO Table 5-9'!#REF!</definedName>
    <definedName name="Barrier" localSheetId="2">'FHWA Tables 2.1 and 2.2'!#REF!</definedName>
    <definedName name="Barrier" localSheetId="0">'GUARDRAIL LON'!$J$14:$J$16</definedName>
    <definedName name="BRIDGE" localSheetId="3">'AASHTO Table 3.1'!#REF!</definedName>
    <definedName name="BRIDGE" localSheetId="7">'AASHTO Table 5-10 (b)'!#REF!</definedName>
    <definedName name="BRIDGE" localSheetId="5">'AASHTO Table 5-7'!#REF!</definedName>
    <definedName name="BRIDGE" localSheetId="6">'AASHTO Table 5-9'!#REF!</definedName>
    <definedName name="BRIDGE" localSheetId="2">'FHWA Tables 2.1 and 2.2'!#REF!</definedName>
    <definedName name="clear_zone" localSheetId="3">'AASHTO Table 3.1'!#REF!</definedName>
    <definedName name="clear_zone" localSheetId="7">'AASHTO Table 5-10 (b)'!#REF!</definedName>
    <definedName name="clear_zone" localSheetId="5">'AASHTO Table 5-7'!#REF!</definedName>
    <definedName name="clear_zone" localSheetId="6">'AASHTO Table 5-9'!#REF!</definedName>
    <definedName name="clear_zone" localSheetId="2">'FHWA Tables 2.1 and 2.2'!#REF!</definedName>
    <definedName name="clear_zone" localSheetId="0">'GUARDRAIL LON'!$K$6:$K$69</definedName>
    <definedName name="direction" localSheetId="7">'AASHTO Table 5-10 (b)'!#REF!</definedName>
    <definedName name="direction" localSheetId="5">'AASHTO Table 5-7'!#REF!</definedName>
    <definedName name="direction" localSheetId="6">'AASHTO Table 5-9'!#REF!</definedName>
    <definedName name="direction" localSheetId="0">'GUARDRAIL LON'!$J$21:$J$22</definedName>
    <definedName name="Flag1" localSheetId="7">INDIRECT(#REF!)</definedName>
    <definedName name="Flag1" localSheetId="5">INDIRECT(#REF!)</definedName>
    <definedName name="Flag1" localSheetId="6">INDIRECT(#REF!)</definedName>
    <definedName name="Flag2" localSheetId="7">INDIRECT(#REF!)</definedName>
    <definedName name="Flag2" localSheetId="5">INDIRECT(#REF!)</definedName>
    <definedName name="Flag2" localSheetId="6">INDIRECT(#REF!)</definedName>
    <definedName name="Flag3" localSheetId="7">INDIRECT(#REF!)</definedName>
    <definedName name="Flag3" localSheetId="5">INDIRECT(#REF!)</definedName>
    <definedName name="Flag3" localSheetId="6">INDIRECT(#REF!)</definedName>
    <definedName name="Flag4" localSheetId="7">INDIRECT(#REF!)</definedName>
    <definedName name="Flag4" localSheetId="5">INDIRECT(#REF!)</definedName>
    <definedName name="Flag4" localSheetId="6">INDIRECT(#REF!)</definedName>
    <definedName name="Flare_Rate">#REF!</definedName>
    <definedName name="La" localSheetId="0">'GUARDRAIL LON'!$K$6:$K$69</definedName>
    <definedName name="La">#REF!</definedName>
    <definedName name="Lateral_Distance_L2" localSheetId="3">'AASHTO Table 3.1'!#REF!</definedName>
    <definedName name="Lateral_Distance_L2" localSheetId="7">'AASHTO Table 5-10 (b)'!#REF!</definedName>
    <definedName name="Lateral_Distance_L2" localSheetId="5">'AASHTO Table 5-7'!#REF!</definedName>
    <definedName name="Lateral_Distance_L2" localSheetId="6">'AASHTO Table 5-9'!#REF!</definedName>
    <definedName name="Lateral_Distance_L2" localSheetId="2">'FHWA Tables 2.1 and 2.2'!#REF!</definedName>
    <definedName name="Opposing" localSheetId="7">'AASHTO Table 5-10 (b)'!#REF!</definedName>
    <definedName name="Opposing" localSheetId="5">'AASHTO Table 5-7'!#REF!</definedName>
    <definedName name="Opposing" localSheetId="6">'AASHTO Table 5-9'!#REF!</definedName>
    <definedName name="Opposing_Flared_Rigid" localSheetId="0">'GUARDRAIL LON'!$N$75:$N$83</definedName>
    <definedName name="Opposing_Flared_Rigid">#REF!</definedName>
    <definedName name="Opposing_Flared_Semi_Rigid" localSheetId="0">'GUARDRAIL LON'!$N$85:$N$93</definedName>
    <definedName name="Opposing_Flared_Semi_Rigid">#REF!</definedName>
    <definedName name="Opposing_Parallel" localSheetId="0">'GUARDRAIL LON'!$N$13:$N$21</definedName>
    <definedName name="Opposing_Parallel">#REF!</definedName>
    <definedName name="Picture" localSheetId="7">INDIRECT('AASHTO Table 5-10 (b)'!#REF!)</definedName>
    <definedName name="Picture" localSheetId="5">INDIRECT('AASHTO Table 5-7'!#REF!)</definedName>
    <definedName name="Picture" localSheetId="6">INDIRECT('AASHTO Table 5-9'!#REF!)</definedName>
    <definedName name="Picture" localSheetId="0">INDIRECT('GUARDRAIL LON'!$N$23)</definedName>
    <definedName name="_xlnm.Print_Area" localSheetId="0">'GUARDRAIL LON'!$B$4:$G$52</definedName>
    <definedName name="RADIUS" localSheetId="0">'GUARDRAIL LON'!$J$35:$J$47</definedName>
    <definedName name="RADIUS">#REF!</definedName>
    <definedName name="slope" localSheetId="3">'AASHTO Table 3.1'!#REF!</definedName>
    <definedName name="slope" localSheetId="7">'AASHTO Table 5-10 (b)'!#REF!</definedName>
    <definedName name="slope" localSheetId="5">'AASHTO Table 5-7'!#REF!</definedName>
    <definedName name="slope" localSheetId="6">'AASHTO Table 5-9'!#REF!</definedName>
    <definedName name="slope" localSheetId="2">'FHWA Tables 2.1 and 2.2'!#REF!</definedName>
    <definedName name="slope" localSheetId="0">'GUARDRAIL LON'!$J$25:$J$30</definedName>
    <definedName name="SPEED" localSheetId="3">'AASHTO Table 3.1'!#REF!</definedName>
    <definedName name="SPEED" localSheetId="7">'AASHTO Table 5-10 (b)'!#REF!</definedName>
    <definedName name="SPEED" localSheetId="5">'AASHTO Table 5-7'!#REF!</definedName>
    <definedName name="SPEED" localSheetId="6">'AASHTO Table 5-9'!#REF!</definedName>
    <definedName name="SPEED" localSheetId="2">'FHWA Tables 2.1 and 2.2'!#REF!</definedName>
    <definedName name="SPEED" localSheetId="0">'GUARDRAIL LON'!$Z$8:$Z$17</definedName>
    <definedName name="Type">'GUARDRAIL LON'!$J$7:$J$8</definedName>
    <definedName name="YESNO" localSheetId="3">'AASHTO Table 3.1'!#REF!</definedName>
    <definedName name="YESNO" localSheetId="7">'AASHTO Table 5-10 (b)'!#REF!</definedName>
    <definedName name="YESNO" localSheetId="5">'AASHTO Table 5-7'!#REF!</definedName>
    <definedName name="YESNO" localSheetId="6">'AASHTO Table 5-9'!#REF!</definedName>
    <definedName name="YESNO" localSheetId="2">'FHWA Tables 2.1 and 2.2'!#REF!</definedName>
    <definedName name="YESNO" localSheetId="0">'GUARDRAIL LON'!$J$11:$J$12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X187" i="18" l="1"/>
  <c r="AW187" i="18"/>
  <c r="AX186" i="18"/>
  <c r="AW186" i="18"/>
  <c r="AX185" i="18"/>
  <c r="AW185" i="18"/>
  <c r="AX184" i="18"/>
  <c r="AW184" i="18"/>
  <c r="AX155" i="18"/>
  <c r="AW155" i="18"/>
  <c r="AX154" i="18"/>
  <c r="AW154" i="18"/>
  <c r="AX153" i="18"/>
  <c r="AW153" i="18"/>
  <c r="AX152" i="18"/>
  <c r="AW152" i="18"/>
  <c r="AX123" i="18"/>
  <c r="AW123" i="18"/>
  <c r="AX122" i="18"/>
  <c r="AW122" i="18"/>
  <c r="AX121" i="18"/>
  <c r="AW121" i="18"/>
  <c r="AX120" i="18"/>
  <c r="AW120" i="18"/>
  <c r="AX59" i="18"/>
  <c r="AW59" i="18"/>
  <c r="AX58" i="18"/>
  <c r="AW58" i="18"/>
  <c r="AX57" i="18"/>
  <c r="AW57" i="18"/>
  <c r="AX56" i="18"/>
  <c r="AW56" i="18"/>
  <c r="AX27" i="18"/>
  <c r="AW27" i="18"/>
  <c r="AX26" i="18"/>
  <c r="AW26" i="18"/>
  <c r="AX25" i="18"/>
  <c r="AW25" i="18"/>
  <c r="AX24" i="18"/>
  <c r="AW24" i="18"/>
  <c r="C19" i="18" l="1"/>
  <c r="G31" i="18" l="1"/>
  <c r="G12" i="18" l="1"/>
  <c r="C21" i="18"/>
  <c r="C27" i="18" l="1"/>
  <c r="F19" i="18" l="1"/>
  <c r="F25" i="18" l="1"/>
  <c r="F20" i="18"/>
  <c r="F27" i="18"/>
  <c r="B29" i="18" l="1"/>
  <c r="B27" i="18"/>
  <c r="B26" i="18"/>
  <c r="B7" i="18"/>
  <c r="C30" i="18"/>
  <c r="C29" i="18"/>
  <c r="C28" i="18"/>
  <c r="AG5" i="18"/>
  <c r="F28" i="18" l="1"/>
  <c r="AT195" i="18"/>
  <c r="AS195" i="18"/>
  <c r="AR195" i="18"/>
  <c r="AQ195" i="18"/>
  <c r="AP195" i="18"/>
  <c r="AO195" i="18"/>
  <c r="AN195" i="18"/>
  <c r="AM195" i="18"/>
  <c r="AL195" i="18"/>
  <c r="AK195" i="18"/>
  <c r="AT194" i="18"/>
  <c r="AS194" i="18"/>
  <c r="AR194" i="18"/>
  <c r="AQ194" i="18"/>
  <c r="AP194" i="18"/>
  <c r="AO194" i="18"/>
  <c r="AN194" i="18"/>
  <c r="AM194" i="18"/>
  <c r="AL194" i="18"/>
  <c r="AK194" i="18"/>
  <c r="AT193" i="18"/>
  <c r="AS193" i="18"/>
  <c r="AR193" i="18"/>
  <c r="AQ193" i="18"/>
  <c r="AP193" i="18"/>
  <c r="AO193" i="18"/>
  <c r="AN193" i="18"/>
  <c r="AM193" i="18"/>
  <c r="AL193" i="18"/>
  <c r="AK193" i="18"/>
  <c r="AT192" i="18"/>
  <c r="AS192" i="18"/>
  <c r="AR192" i="18"/>
  <c r="AQ192" i="18"/>
  <c r="AP192" i="18"/>
  <c r="AO192" i="18"/>
  <c r="AN192" i="18"/>
  <c r="AM192" i="18"/>
  <c r="AL192" i="18"/>
  <c r="AK192" i="18"/>
  <c r="AX191" i="18"/>
  <c r="AW191" i="18"/>
  <c r="AV191" i="18"/>
  <c r="AU191" i="18"/>
  <c r="AT191" i="18"/>
  <c r="AS191" i="18"/>
  <c r="AR191" i="18"/>
  <c r="AQ191" i="18"/>
  <c r="AP191" i="18"/>
  <c r="AO191" i="18"/>
  <c r="AN191" i="18"/>
  <c r="AM191" i="18"/>
  <c r="AL191" i="18"/>
  <c r="AK191" i="18"/>
  <c r="AX190" i="18"/>
  <c r="AW190" i="18"/>
  <c r="AV190" i="18"/>
  <c r="AU190" i="18"/>
  <c r="AT190" i="18"/>
  <c r="AS190" i="18"/>
  <c r="AR190" i="18"/>
  <c r="AQ190" i="18"/>
  <c r="AP190" i="18"/>
  <c r="AO190" i="18"/>
  <c r="AN190" i="18"/>
  <c r="AM190" i="18"/>
  <c r="AL190" i="18"/>
  <c r="AK190" i="18"/>
  <c r="AX189" i="18"/>
  <c r="AW189" i="18"/>
  <c r="AV189" i="18"/>
  <c r="AU189" i="18"/>
  <c r="AT189" i="18"/>
  <c r="AS189" i="18"/>
  <c r="AR189" i="18"/>
  <c r="AQ189" i="18"/>
  <c r="AP189" i="18"/>
  <c r="AO189" i="18"/>
  <c r="AN189" i="18"/>
  <c r="AM189" i="18"/>
  <c r="AL189" i="18"/>
  <c r="AK189" i="18"/>
  <c r="AX188" i="18"/>
  <c r="AW188" i="18"/>
  <c r="AV188" i="18"/>
  <c r="AU188" i="18"/>
  <c r="AT188" i="18"/>
  <c r="AS188" i="18"/>
  <c r="AR188" i="18"/>
  <c r="AQ188" i="18"/>
  <c r="AP188" i="18"/>
  <c r="AO188" i="18"/>
  <c r="AN188" i="18"/>
  <c r="AM188" i="18"/>
  <c r="AL188" i="18"/>
  <c r="AK188" i="18"/>
  <c r="BB187" i="18"/>
  <c r="BA187" i="18"/>
  <c r="AZ187" i="18"/>
  <c r="AY187" i="18"/>
  <c r="AV187" i="18"/>
  <c r="AU187" i="18"/>
  <c r="AT187" i="18"/>
  <c r="AS187" i="18"/>
  <c r="AR187" i="18"/>
  <c r="AQ187" i="18"/>
  <c r="AP187" i="18"/>
  <c r="AO187" i="18"/>
  <c r="AN187" i="18"/>
  <c r="AM187" i="18"/>
  <c r="AL187" i="18"/>
  <c r="AK187" i="18"/>
  <c r="BB186" i="18"/>
  <c r="BA186" i="18"/>
  <c r="AZ186" i="18"/>
  <c r="AY186" i="18"/>
  <c r="AV186" i="18"/>
  <c r="AU186" i="18"/>
  <c r="AT186" i="18"/>
  <c r="AS186" i="18"/>
  <c r="AR186" i="18"/>
  <c r="AQ186" i="18"/>
  <c r="AP186" i="18"/>
  <c r="AO186" i="18"/>
  <c r="AN186" i="18"/>
  <c r="AM186" i="18"/>
  <c r="AL186" i="18"/>
  <c r="AK186" i="18"/>
  <c r="BB185" i="18"/>
  <c r="BA185" i="18"/>
  <c r="AZ185" i="18"/>
  <c r="AY185" i="18"/>
  <c r="AV185" i="18"/>
  <c r="AU185" i="18"/>
  <c r="AT185" i="18"/>
  <c r="AS185" i="18"/>
  <c r="AR185" i="18"/>
  <c r="AQ185" i="18"/>
  <c r="AP185" i="18"/>
  <c r="AO185" i="18"/>
  <c r="AN185" i="18"/>
  <c r="AM185" i="18"/>
  <c r="AL185" i="18"/>
  <c r="AK185" i="18"/>
  <c r="BB184" i="18"/>
  <c r="BA184" i="18"/>
  <c r="AZ184" i="18"/>
  <c r="AY184" i="18"/>
  <c r="AV184" i="18"/>
  <c r="AU184" i="18"/>
  <c r="AT184" i="18"/>
  <c r="AS184" i="18"/>
  <c r="AR184" i="18"/>
  <c r="AQ184" i="18"/>
  <c r="AP184" i="18"/>
  <c r="AO184" i="18"/>
  <c r="AN184" i="18"/>
  <c r="AM184" i="18"/>
  <c r="AL184" i="18"/>
  <c r="AK184" i="18"/>
  <c r="BB183" i="18"/>
  <c r="BA183" i="18"/>
  <c r="AZ183" i="18"/>
  <c r="AY183" i="18"/>
  <c r="AX183" i="18"/>
  <c r="AW183" i="18"/>
  <c r="AV183" i="18"/>
  <c r="AU183" i="18"/>
  <c r="AT183" i="18"/>
  <c r="AS183" i="18"/>
  <c r="AR183" i="18"/>
  <c r="AQ183" i="18"/>
  <c r="AP183" i="18"/>
  <c r="AO183" i="18"/>
  <c r="AN183" i="18"/>
  <c r="AM183" i="18"/>
  <c r="AL183" i="18"/>
  <c r="AK183" i="18"/>
  <c r="BB182" i="18"/>
  <c r="BA182" i="18"/>
  <c r="AZ182" i="18"/>
  <c r="AY182" i="18"/>
  <c r="AX182" i="18"/>
  <c r="AW182" i="18"/>
  <c r="AV182" i="18"/>
  <c r="AU182" i="18"/>
  <c r="AT182" i="18"/>
  <c r="AS182" i="18"/>
  <c r="AR182" i="18"/>
  <c r="AQ182" i="18"/>
  <c r="AP182" i="18"/>
  <c r="AO182" i="18"/>
  <c r="AN182" i="18"/>
  <c r="AM182" i="18"/>
  <c r="AL182" i="18"/>
  <c r="AK182" i="18"/>
  <c r="BB181" i="18"/>
  <c r="BA181" i="18"/>
  <c r="AZ181" i="18"/>
  <c r="AY181" i="18"/>
  <c r="AX181" i="18"/>
  <c r="AW181" i="18"/>
  <c r="AV181" i="18"/>
  <c r="AU181" i="18"/>
  <c r="AT181" i="18"/>
  <c r="AS181" i="18"/>
  <c r="AR181" i="18"/>
  <c r="AQ181" i="18"/>
  <c r="AP181" i="18"/>
  <c r="AO181" i="18"/>
  <c r="AN181" i="18"/>
  <c r="AM181" i="18"/>
  <c r="AL181" i="18"/>
  <c r="AK181" i="18"/>
  <c r="BB180" i="18"/>
  <c r="BA180" i="18"/>
  <c r="AZ180" i="18"/>
  <c r="AY180" i="18"/>
  <c r="AX180" i="18"/>
  <c r="AW180" i="18"/>
  <c r="AV180" i="18"/>
  <c r="AU180" i="18"/>
  <c r="AT180" i="18"/>
  <c r="AS180" i="18"/>
  <c r="AR180" i="18"/>
  <c r="AQ180" i="18"/>
  <c r="AP180" i="18"/>
  <c r="AO180" i="18"/>
  <c r="AN180" i="18"/>
  <c r="AM180" i="18"/>
  <c r="AL180" i="18"/>
  <c r="AK180" i="18"/>
  <c r="BD179" i="18"/>
  <c r="BC179" i="18"/>
  <c r="BB179" i="18"/>
  <c r="BA179" i="18"/>
  <c r="AZ179" i="18"/>
  <c r="AY179" i="18"/>
  <c r="AX179" i="18"/>
  <c r="AW179" i="18"/>
  <c r="AV179" i="18"/>
  <c r="AU179" i="18"/>
  <c r="AT179" i="18"/>
  <c r="AS179" i="18"/>
  <c r="AR179" i="18"/>
  <c r="AQ179" i="18"/>
  <c r="AP179" i="18"/>
  <c r="AO179" i="18"/>
  <c r="AN179" i="18"/>
  <c r="AM179" i="18"/>
  <c r="AL179" i="18"/>
  <c r="AK179" i="18"/>
  <c r="BD178" i="18"/>
  <c r="BC178" i="18"/>
  <c r="BB178" i="18"/>
  <c r="BA178" i="18"/>
  <c r="AZ178" i="18"/>
  <c r="AY178" i="18"/>
  <c r="AX178" i="18"/>
  <c r="AW178" i="18"/>
  <c r="AV178" i="18"/>
  <c r="AU178" i="18"/>
  <c r="AT178" i="18"/>
  <c r="AS178" i="18"/>
  <c r="AR178" i="18"/>
  <c r="AQ178" i="18"/>
  <c r="AP178" i="18"/>
  <c r="AO178" i="18"/>
  <c r="AN178" i="18"/>
  <c r="AM178" i="18"/>
  <c r="AL178" i="18"/>
  <c r="AK178" i="18"/>
  <c r="BD177" i="18"/>
  <c r="BC177" i="18"/>
  <c r="BB177" i="18"/>
  <c r="BA177" i="18"/>
  <c r="AZ177" i="18"/>
  <c r="AY177" i="18"/>
  <c r="AX177" i="18"/>
  <c r="AW177" i="18"/>
  <c r="AV177" i="18"/>
  <c r="AU177" i="18"/>
  <c r="AT177" i="18"/>
  <c r="AS177" i="18"/>
  <c r="AR177" i="18"/>
  <c r="AQ177" i="18"/>
  <c r="AP177" i="18"/>
  <c r="AO177" i="18"/>
  <c r="AN177" i="18"/>
  <c r="AM177" i="18"/>
  <c r="AL177" i="18"/>
  <c r="AK177" i="18"/>
  <c r="BD176" i="18"/>
  <c r="BC176" i="18"/>
  <c r="BB176" i="18"/>
  <c r="BA176" i="18"/>
  <c r="AZ176" i="18"/>
  <c r="AY176" i="18"/>
  <c r="AX176" i="18"/>
  <c r="AW176" i="18"/>
  <c r="AV176" i="18"/>
  <c r="AU176" i="18"/>
  <c r="AT176" i="18"/>
  <c r="AS176" i="18"/>
  <c r="AR176" i="18"/>
  <c r="AQ176" i="18"/>
  <c r="AP176" i="18"/>
  <c r="AO176" i="18"/>
  <c r="AN176" i="18"/>
  <c r="AM176" i="18"/>
  <c r="AL176" i="18"/>
  <c r="AK176" i="18"/>
  <c r="BF175" i="18"/>
  <c r="BE175" i="18"/>
  <c r="BD175" i="18"/>
  <c r="BC175" i="18"/>
  <c r="BB175" i="18"/>
  <c r="BA175" i="18"/>
  <c r="AZ175" i="18"/>
  <c r="AY175" i="18"/>
  <c r="AX175" i="18"/>
  <c r="AW175" i="18"/>
  <c r="AV175" i="18"/>
  <c r="AU175" i="18"/>
  <c r="AT175" i="18"/>
  <c r="AS175" i="18"/>
  <c r="AR175" i="18"/>
  <c r="AQ175" i="18"/>
  <c r="AP175" i="18"/>
  <c r="AO175" i="18"/>
  <c r="AN175" i="18"/>
  <c r="AM175" i="18"/>
  <c r="AL175" i="18"/>
  <c r="AK175" i="18"/>
  <c r="BF174" i="18"/>
  <c r="BE174" i="18"/>
  <c r="BD174" i="18"/>
  <c r="BC174" i="18"/>
  <c r="BB174" i="18"/>
  <c r="BA174" i="18"/>
  <c r="AZ174" i="18"/>
  <c r="AY174" i="18"/>
  <c r="AX174" i="18"/>
  <c r="AW174" i="18"/>
  <c r="AV174" i="18"/>
  <c r="AU174" i="18"/>
  <c r="AT174" i="18"/>
  <c r="AS174" i="18"/>
  <c r="AR174" i="18"/>
  <c r="AQ174" i="18"/>
  <c r="AP174" i="18"/>
  <c r="AO174" i="18"/>
  <c r="AN174" i="18"/>
  <c r="AM174" i="18"/>
  <c r="AL174" i="18"/>
  <c r="AK174" i="18"/>
  <c r="BF173" i="18"/>
  <c r="BE173" i="18"/>
  <c r="BD173" i="18"/>
  <c r="BC173" i="18"/>
  <c r="BB173" i="18"/>
  <c r="BA173" i="18"/>
  <c r="AZ173" i="18"/>
  <c r="AY173" i="18"/>
  <c r="AX173" i="18"/>
  <c r="AW173" i="18"/>
  <c r="AV173" i="18"/>
  <c r="AU173" i="18"/>
  <c r="AT173" i="18"/>
  <c r="AS173" i="18"/>
  <c r="AR173" i="18"/>
  <c r="AQ173" i="18"/>
  <c r="AP173" i="18"/>
  <c r="AO173" i="18"/>
  <c r="AN173" i="18"/>
  <c r="AM173" i="18"/>
  <c r="AL173" i="18"/>
  <c r="AK173" i="18"/>
  <c r="BF172" i="18"/>
  <c r="BE172" i="18"/>
  <c r="BD172" i="18"/>
  <c r="BC172" i="18"/>
  <c r="BB172" i="18"/>
  <c r="BA172" i="18"/>
  <c r="AZ172" i="18"/>
  <c r="AY172" i="18"/>
  <c r="AX172" i="18"/>
  <c r="AW172" i="18"/>
  <c r="AV172" i="18"/>
  <c r="AU172" i="18"/>
  <c r="AT172" i="18"/>
  <c r="AS172" i="18"/>
  <c r="AR172" i="18"/>
  <c r="AQ172" i="18"/>
  <c r="AP172" i="18"/>
  <c r="AO172" i="18"/>
  <c r="AN172" i="18"/>
  <c r="AM172" i="18"/>
  <c r="AL172" i="18"/>
  <c r="AK172" i="18"/>
  <c r="BH171" i="18"/>
  <c r="BG171" i="18"/>
  <c r="BF171" i="18"/>
  <c r="BE171" i="18"/>
  <c r="BD171" i="18"/>
  <c r="BC171" i="18"/>
  <c r="BB171" i="18"/>
  <c r="BA171" i="18"/>
  <c r="AZ171" i="18"/>
  <c r="AY171" i="18"/>
  <c r="AX171" i="18"/>
  <c r="AW171" i="18"/>
  <c r="AV171" i="18"/>
  <c r="AU171" i="18"/>
  <c r="AT171" i="18"/>
  <c r="AS171" i="18"/>
  <c r="AR171" i="18"/>
  <c r="AQ171" i="18"/>
  <c r="AP171" i="18"/>
  <c r="AO171" i="18"/>
  <c r="AN171" i="18"/>
  <c r="AM171" i="18"/>
  <c r="AL171" i="18"/>
  <c r="AK171" i="18"/>
  <c r="BH170" i="18"/>
  <c r="BG170" i="18"/>
  <c r="BF170" i="18"/>
  <c r="BE170" i="18"/>
  <c r="BD170" i="18"/>
  <c r="BC170" i="18"/>
  <c r="BB170" i="18"/>
  <c r="BA170" i="18"/>
  <c r="AZ170" i="18"/>
  <c r="AY170" i="18"/>
  <c r="AX170" i="18"/>
  <c r="AW170" i="18"/>
  <c r="AV170" i="18"/>
  <c r="AU170" i="18"/>
  <c r="AT170" i="18"/>
  <c r="AS170" i="18"/>
  <c r="AR170" i="18"/>
  <c r="AQ170" i="18"/>
  <c r="AP170" i="18"/>
  <c r="AO170" i="18"/>
  <c r="AN170" i="18"/>
  <c r="AM170" i="18"/>
  <c r="AL170" i="18"/>
  <c r="AK170" i="18"/>
  <c r="BH169" i="18"/>
  <c r="BG169" i="18"/>
  <c r="BF169" i="18"/>
  <c r="BE169" i="18"/>
  <c r="BD169" i="18"/>
  <c r="BC169" i="18"/>
  <c r="BB169" i="18"/>
  <c r="BA169" i="18"/>
  <c r="AZ169" i="18"/>
  <c r="AY169" i="18"/>
  <c r="AX169" i="18"/>
  <c r="AW169" i="18"/>
  <c r="AV169" i="18"/>
  <c r="AU169" i="18"/>
  <c r="AT169" i="18"/>
  <c r="AS169" i="18"/>
  <c r="AR169" i="18"/>
  <c r="AQ169" i="18"/>
  <c r="AP169" i="18"/>
  <c r="AO169" i="18"/>
  <c r="AN169" i="18"/>
  <c r="AM169" i="18"/>
  <c r="AL169" i="18"/>
  <c r="AK169" i="18"/>
  <c r="BH168" i="18"/>
  <c r="BG168" i="18"/>
  <c r="BF168" i="18"/>
  <c r="BE168" i="18"/>
  <c r="BD168" i="18"/>
  <c r="BC168" i="18"/>
  <c r="BB168" i="18"/>
  <c r="BA168" i="18"/>
  <c r="AZ168" i="18"/>
  <c r="AY168" i="18"/>
  <c r="AX168" i="18"/>
  <c r="AW168" i="18"/>
  <c r="AV168" i="18"/>
  <c r="AU168" i="18"/>
  <c r="AT168" i="18"/>
  <c r="AS168" i="18"/>
  <c r="AR168" i="18"/>
  <c r="AQ168" i="18"/>
  <c r="AP168" i="18"/>
  <c r="AO168" i="18"/>
  <c r="AN168" i="18"/>
  <c r="AM168" i="18"/>
  <c r="AL168" i="18"/>
  <c r="AK168" i="18"/>
  <c r="AT163" i="18"/>
  <c r="AS163" i="18"/>
  <c r="AR163" i="18"/>
  <c r="AQ163" i="18"/>
  <c r="AP163" i="18"/>
  <c r="AO163" i="18"/>
  <c r="AN163" i="18"/>
  <c r="AM163" i="18"/>
  <c r="AL163" i="18"/>
  <c r="AK163" i="18"/>
  <c r="AT162" i="18"/>
  <c r="AS162" i="18"/>
  <c r="AR162" i="18"/>
  <c r="AQ162" i="18"/>
  <c r="AP162" i="18"/>
  <c r="AO162" i="18"/>
  <c r="AN162" i="18"/>
  <c r="AM162" i="18"/>
  <c r="AL162" i="18"/>
  <c r="AK162" i="18"/>
  <c r="AT161" i="18"/>
  <c r="AS161" i="18"/>
  <c r="AR161" i="18"/>
  <c r="AQ161" i="18"/>
  <c r="AP161" i="18"/>
  <c r="AO161" i="18"/>
  <c r="AN161" i="18"/>
  <c r="AM161" i="18"/>
  <c r="AL161" i="18"/>
  <c r="AK161" i="18"/>
  <c r="AT160" i="18"/>
  <c r="AS160" i="18"/>
  <c r="AR160" i="18"/>
  <c r="AQ160" i="18"/>
  <c r="AP160" i="18"/>
  <c r="AO160" i="18"/>
  <c r="AN160" i="18"/>
  <c r="AM160" i="18"/>
  <c r="AL160" i="18"/>
  <c r="AK160" i="18"/>
  <c r="AX159" i="18"/>
  <c r="AW159" i="18"/>
  <c r="AV159" i="18"/>
  <c r="AU159" i="18"/>
  <c r="AT159" i="18"/>
  <c r="AS159" i="18"/>
  <c r="AR159" i="18"/>
  <c r="AQ159" i="18"/>
  <c r="AP159" i="18"/>
  <c r="AO159" i="18"/>
  <c r="AN159" i="18"/>
  <c r="AM159" i="18"/>
  <c r="AL159" i="18"/>
  <c r="AK159" i="18"/>
  <c r="AX158" i="18"/>
  <c r="AW158" i="18"/>
  <c r="AV158" i="18"/>
  <c r="AU158" i="18"/>
  <c r="AT158" i="18"/>
  <c r="AS158" i="18"/>
  <c r="AR158" i="18"/>
  <c r="AQ158" i="18"/>
  <c r="AP158" i="18"/>
  <c r="AO158" i="18"/>
  <c r="AN158" i="18"/>
  <c r="AM158" i="18"/>
  <c r="AL158" i="18"/>
  <c r="AK158" i="18"/>
  <c r="AX157" i="18"/>
  <c r="AW157" i="18"/>
  <c r="AV157" i="18"/>
  <c r="AU157" i="18"/>
  <c r="AT157" i="18"/>
  <c r="AS157" i="18"/>
  <c r="AR157" i="18"/>
  <c r="AQ157" i="18"/>
  <c r="AP157" i="18"/>
  <c r="AO157" i="18"/>
  <c r="AN157" i="18"/>
  <c r="AM157" i="18"/>
  <c r="AL157" i="18"/>
  <c r="AK157" i="18"/>
  <c r="AX156" i="18"/>
  <c r="AW156" i="18"/>
  <c r="AV156" i="18"/>
  <c r="AU156" i="18"/>
  <c r="AT156" i="18"/>
  <c r="AS156" i="18"/>
  <c r="AR156" i="18"/>
  <c r="AQ156" i="18"/>
  <c r="AP156" i="18"/>
  <c r="AO156" i="18"/>
  <c r="AN156" i="18"/>
  <c r="AM156" i="18"/>
  <c r="AL156" i="18"/>
  <c r="AK156" i="18"/>
  <c r="BB155" i="18"/>
  <c r="BA155" i="18"/>
  <c r="AZ155" i="18"/>
  <c r="AY155" i="18"/>
  <c r="AV155" i="18"/>
  <c r="AU155" i="18"/>
  <c r="AT155" i="18"/>
  <c r="AS155" i="18"/>
  <c r="AR155" i="18"/>
  <c r="AQ155" i="18"/>
  <c r="AP155" i="18"/>
  <c r="AO155" i="18"/>
  <c r="AN155" i="18"/>
  <c r="AM155" i="18"/>
  <c r="AL155" i="18"/>
  <c r="AK155" i="18"/>
  <c r="BB154" i="18"/>
  <c r="BA154" i="18"/>
  <c r="AZ154" i="18"/>
  <c r="AY154" i="18"/>
  <c r="AV154" i="18"/>
  <c r="AU154" i="18"/>
  <c r="AT154" i="18"/>
  <c r="AS154" i="18"/>
  <c r="AR154" i="18"/>
  <c r="AQ154" i="18"/>
  <c r="AP154" i="18"/>
  <c r="AO154" i="18"/>
  <c r="AN154" i="18"/>
  <c r="AM154" i="18"/>
  <c r="AL154" i="18"/>
  <c r="AK154" i="18"/>
  <c r="BB153" i="18"/>
  <c r="BA153" i="18"/>
  <c r="AZ153" i="18"/>
  <c r="AY153" i="18"/>
  <c r="AV153" i="18"/>
  <c r="AU153" i="18"/>
  <c r="AT153" i="18"/>
  <c r="AS153" i="18"/>
  <c r="AR153" i="18"/>
  <c r="AQ153" i="18"/>
  <c r="AP153" i="18"/>
  <c r="AO153" i="18"/>
  <c r="AN153" i="18"/>
  <c r="AM153" i="18"/>
  <c r="AL153" i="18"/>
  <c r="AK153" i="18"/>
  <c r="BB152" i="18"/>
  <c r="BA152" i="18"/>
  <c r="AZ152" i="18"/>
  <c r="AY152" i="18"/>
  <c r="AV152" i="18"/>
  <c r="AU152" i="18"/>
  <c r="AT152" i="18"/>
  <c r="AS152" i="18"/>
  <c r="AR152" i="18"/>
  <c r="AQ152" i="18"/>
  <c r="AP152" i="18"/>
  <c r="AO152" i="18"/>
  <c r="AN152" i="18"/>
  <c r="AM152" i="18"/>
  <c r="AL152" i="18"/>
  <c r="AK152" i="18"/>
  <c r="BB151" i="18"/>
  <c r="BA151" i="18"/>
  <c r="AZ151" i="18"/>
  <c r="AY151" i="18"/>
  <c r="AX151" i="18"/>
  <c r="AW151" i="18"/>
  <c r="AV151" i="18"/>
  <c r="AU151" i="18"/>
  <c r="AT151" i="18"/>
  <c r="AS151" i="18"/>
  <c r="AR151" i="18"/>
  <c r="AQ151" i="18"/>
  <c r="AP151" i="18"/>
  <c r="AO151" i="18"/>
  <c r="AN151" i="18"/>
  <c r="AM151" i="18"/>
  <c r="AL151" i="18"/>
  <c r="AK151" i="18"/>
  <c r="BB150" i="18"/>
  <c r="BA150" i="18"/>
  <c r="AZ150" i="18"/>
  <c r="AY150" i="18"/>
  <c r="AX150" i="18"/>
  <c r="AW150" i="18"/>
  <c r="AV150" i="18"/>
  <c r="AU150" i="18"/>
  <c r="AT150" i="18"/>
  <c r="AS150" i="18"/>
  <c r="AR150" i="18"/>
  <c r="AQ150" i="18"/>
  <c r="AP150" i="18"/>
  <c r="AO150" i="18"/>
  <c r="AN150" i="18"/>
  <c r="AM150" i="18"/>
  <c r="AL150" i="18"/>
  <c r="AK150" i="18"/>
  <c r="BB149" i="18"/>
  <c r="BA149" i="18"/>
  <c r="AZ149" i="18"/>
  <c r="AY149" i="18"/>
  <c r="AX149" i="18"/>
  <c r="AW149" i="18"/>
  <c r="AV149" i="18"/>
  <c r="AU149" i="18"/>
  <c r="AT149" i="18"/>
  <c r="AS149" i="18"/>
  <c r="AR149" i="18"/>
  <c r="AQ149" i="18"/>
  <c r="AP149" i="18"/>
  <c r="AO149" i="18"/>
  <c r="AN149" i="18"/>
  <c r="AM149" i="18"/>
  <c r="AL149" i="18"/>
  <c r="AK149" i="18"/>
  <c r="BB148" i="18"/>
  <c r="BA148" i="18"/>
  <c r="AZ148" i="18"/>
  <c r="AY148" i="18"/>
  <c r="AX148" i="18"/>
  <c r="AW148" i="18"/>
  <c r="AV148" i="18"/>
  <c r="AU148" i="18"/>
  <c r="AT148" i="18"/>
  <c r="AS148" i="18"/>
  <c r="AR148" i="18"/>
  <c r="AQ148" i="18"/>
  <c r="AP148" i="18"/>
  <c r="AO148" i="18"/>
  <c r="AN148" i="18"/>
  <c r="AM148" i="18"/>
  <c r="AL148" i="18"/>
  <c r="AK148" i="18"/>
  <c r="BD147" i="18"/>
  <c r="BC147" i="18"/>
  <c r="BB147" i="18"/>
  <c r="BA147" i="18"/>
  <c r="AZ147" i="18"/>
  <c r="AY147" i="18"/>
  <c r="AX147" i="18"/>
  <c r="AW147" i="18"/>
  <c r="AV147" i="18"/>
  <c r="AU147" i="18"/>
  <c r="AT147" i="18"/>
  <c r="AS147" i="18"/>
  <c r="AR147" i="18"/>
  <c r="AQ147" i="18"/>
  <c r="AP147" i="18"/>
  <c r="AO147" i="18"/>
  <c r="AN147" i="18"/>
  <c r="AM147" i="18"/>
  <c r="AL147" i="18"/>
  <c r="AK147" i="18"/>
  <c r="BD146" i="18"/>
  <c r="BC146" i="18"/>
  <c r="BB146" i="18"/>
  <c r="BA146" i="18"/>
  <c r="AZ146" i="18"/>
  <c r="AY146" i="18"/>
  <c r="AX146" i="18"/>
  <c r="AW146" i="18"/>
  <c r="AV146" i="18"/>
  <c r="AU146" i="18"/>
  <c r="AT146" i="18"/>
  <c r="AS146" i="18"/>
  <c r="AR146" i="18"/>
  <c r="AQ146" i="18"/>
  <c r="AP146" i="18"/>
  <c r="AO146" i="18"/>
  <c r="AN146" i="18"/>
  <c r="AM146" i="18"/>
  <c r="AL146" i="18"/>
  <c r="AK146" i="18"/>
  <c r="BD145" i="18"/>
  <c r="BC145" i="18"/>
  <c r="BB145" i="18"/>
  <c r="BA145" i="18"/>
  <c r="AZ145" i="18"/>
  <c r="AY145" i="18"/>
  <c r="AX145" i="18"/>
  <c r="AW145" i="18"/>
  <c r="AV145" i="18"/>
  <c r="AU145" i="18"/>
  <c r="AT145" i="18"/>
  <c r="AS145" i="18"/>
  <c r="AR145" i="18"/>
  <c r="AQ145" i="18"/>
  <c r="AP145" i="18"/>
  <c r="AO145" i="18"/>
  <c r="AN145" i="18"/>
  <c r="AM145" i="18"/>
  <c r="AL145" i="18"/>
  <c r="AK145" i="18"/>
  <c r="BD144" i="18"/>
  <c r="BC144" i="18"/>
  <c r="BB144" i="18"/>
  <c r="BA144" i="18"/>
  <c r="AZ144" i="18"/>
  <c r="AY144" i="18"/>
  <c r="AX144" i="18"/>
  <c r="AW144" i="18"/>
  <c r="AV144" i="18"/>
  <c r="AU144" i="18"/>
  <c r="AT144" i="18"/>
  <c r="AS144" i="18"/>
  <c r="AR144" i="18"/>
  <c r="AQ144" i="18"/>
  <c r="AP144" i="18"/>
  <c r="AO144" i="18"/>
  <c r="AN144" i="18"/>
  <c r="AM144" i="18"/>
  <c r="AL144" i="18"/>
  <c r="AK144" i="18"/>
  <c r="BF143" i="18"/>
  <c r="BE143" i="18"/>
  <c r="BD143" i="18"/>
  <c r="BC143" i="18"/>
  <c r="BB143" i="18"/>
  <c r="BA143" i="18"/>
  <c r="AZ143" i="18"/>
  <c r="AY143" i="18"/>
  <c r="AX143" i="18"/>
  <c r="AW143" i="18"/>
  <c r="AV143" i="18"/>
  <c r="AU143" i="18"/>
  <c r="AT143" i="18"/>
  <c r="AS143" i="18"/>
  <c r="AR143" i="18"/>
  <c r="AQ143" i="18"/>
  <c r="AP143" i="18"/>
  <c r="AO143" i="18"/>
  <c r="AN143" i="18"/>
  <c r="AM143" i="18"/>
  <c r="AL143" i="18"/>
  <c r="AK143" i="18"/>
  <c r="BF142" i="18"/>
  <c r="BE142" i="18"/>
  <c r="BD142" i="18"/>
  <c r="BC142" i="18"/>
  <c r="BB142" i="18"/>
  <c r="BA142" i="18"/>
  <c r="AZ142" i="18"/>
  <c r="AY142" i="18"/>
  <c r="AX142" i="18"/>
  <c r="AW142" i="18"/>
  <c r="AV142" i="18"/>
  <c r="AU142" i="18"/>
  <c r="AT142" i="18"/>
  <c r="AS142" i="18"/>
  <c r="AR142" i="18"/>
  <c r="AQ142" i="18"/>
  <c r="AP142" i="18"/>
  <c r="AO142" i="18"/>
  <c r="AN142" i="18"/>
  <c r="AM142" i="18"/>
  <c r="AL142" i="18"/>
  <c r="AK142" i="18"/>
  <c r="BF141" i="18"/>
  <c r="BE141" i="18"/>
  <c r="BD141" i="18"/>
  <c r="BC141" i="18"/>
  <c r="BB141" i="18"/>
  <c r="BA141" i="18"/>
  <c r="AZ141" i="18"/>
  <c r="AY141" i="18"/>
  <c r="AX141" i="18"/>
  <c r="AW141" i="18"/>
  <c r="AV141" i="18"/>
  <c r="AU141" i="18"/>
  <c r="AT141" i="18"/>
  <c r="AS141" i="18"/>
  <c r="AR141" i="18"/>
  <c r="AQ141" i="18"/>
  <c r="AP141" i="18"/>
  <c r="AO141" i="18"/>
  <c r="AN141" i="18"/>
  <c r="AM141" i="18"/>
  <c r="AL141" i="18"/>
  <c r="AK141" i="18"/>
  <c r="BF140" i="18"/>
  <c r="BE140" i="18"/>
  <c r="BD140" i="18"/>
  <c r="BC140" i="18"/>
  <c r="BB140" i="18"/>
  <c r="BA140" i="18"/>
  <c r="AZ140" i="18"/>
  <c r="AY140" i="18"/>
  <c r="AX140" i="18"/>
  <c r="AW140" i="18"/>
  <c r="AV140" i="18"/>
  <c r="AU140" i="18"/>
  <c r="AT140" i="18"/>
  <c r="AS140" i="18"/>
  <c r="AR140" i="18"/>
  <c r="AQ140" i="18"/>
  <c r="AP140" i="18"/>
  <c r="AO140" i="18"/>
  <c r="AN140" i="18"/>
  <c r="AM140" i="18"/>
  <c r="AL140" i="18"/>
  <c r="AK140" i="18"/>
  <c r="BH139" i="18"/>
  <c r="BG139" i="18"/>
  <c r="BF139" i="18"/>
  <c r="BE139" i="18"/>
  <c r="BD139" i="18"/>
  <c r="BC139" i="18"/>
  <c r="BB139" i="18"/>
  <c r="BA139" i="18"/>
  <c r="AZ139" i="18"/>
  <c r="AY139" i="18"/>
  <c r="AX139" i="18"/>
  <c r="AW139" i="18"/>
  <c r="AV139" i="18"/>
  <c r="AU139" i="18"/>
  <c r="AT139" i="18"/>
  <c r="AS139" i="18"/>
  <c r="AR139" i="18"/>
  <c r="AQ139" i="18"/>
  <c r="AP139" i="18"/>
  <c r="AO139" i="18"/>
  <c r="AN139" i="18"/>
  <c r="AM139" i="18"/>
  <c r="AL139" i="18"/>
  <c r="AK139" i="18"/>
  <c r="BH138" i="18"/>
  <c r="BG138" i="18"/>
  <c r="BF138" i="18"/>
  <c r="BE138" i="18"/>
  <c r="BD138" i="18"/>
  <c r="BC138" i="18"/>
  <c r="BB138" i="18"/>
  <c r="BA138" i="18"/>
  <c r="AZ138" i="18"/>
  <c r="AY138" i="18"/>
  <c r="AX138" i="18"/>
  <c r="AW138" i="18"/>
  <c r="AV138" i="18"/>
  <c r="AU138" i="18"/>
  <c r="AT138" i="18"/>
  <c r="AS138" i="18"/>
  <c r="AR138" i="18"/>
  <c r="AQ138" i="18"/>
  <c r="AP138" i="18"/>
  <c r="AO138" i="18"/>
  <c r="AN138" i="18"/>
  <c r="AM138" i="18"/>
  <c r="AL138" i="18"/>
  <c r="AK138" i="18"/>
  <c r="BH137" i="18"/>
  <c r="BG137" i="18"/>
  <c r="BF137" i="18"/>
  <c r="BE137" i="18"/>
  <c r="BD137" i="18"/>
  <c r="BC137" i="18"/>
  <c r="BB137" i="18"/>
  <c r="BA137" i="18"/>
  <c r="AZ137" i="18"/>
  <c r="AY137" i="18"/>
  <c r="AX137" i="18"/>
  <c r="AW137" i="18"/>
  <c r="AV137" i="18"/>
  <c r="AU137" i="18"/>
  <c r="AT137" i="18"/>
  <c r="AS137" i="18"/>
  <c r="AR137" i="18"/>
  <c r="AQ137" i="18"/>
  <c r="AP137" i="18"/>
  <c r="AO137" i="18"/>
  <c r="AN137" i="18"/>
  <c r="AM137" i="18"/>
  <c r="AL137" i="18"/>
  <c r="AK137" i="18"/>
  <c r="BH136" i="18"/>
  <c r="BG136" i="18"/>
  <c r="BF136" i="18"/>
  <c r="BE136" i="18"/>
  <c r="BD136" i="18"/>
  <c r="BC136" i="18"/>
  <c r="BB136" i="18"/>
  <c r="BA136" i="18"/>
  <c r="AZ136" i="18"/>
  <c r="AY136" i="18"/>
  <c r="AX136" i="18"/>
  <c r="AW136" i="18"/>
  <c r="AV136" i="18"/>
  <c r="AU136" i="18"/>
  <c r="AT136" i="18"/>
  <c r="AS136" i="18"/>
  <c r="AR136" i="18"/>
  <c r="AQ136" i="18"/>
  <c r="AP136" i="18"/>
  <c r="AO136" i="18"/>
  <c r="AN136" i="18"/>
  <c r="AM136" i="18"/>
  <c r="AL136" i="18"/>
  <c r="AK136" i="18"/>
  <c r="AT131" i="18"/>
  <c r="AS131" i="18"/>
  <c r="AR131" i="18"/>
  <c r="AQ131" i="18"/>
  <c r="AP131" i="18"/>
  <c r="AO131" i="18"/>
  <c r="AN131" i="18"/>
  <c r="AM131" i="18"/>
  <c r="AL131" i="18"/>
  <c r="AK131" i="18"/>
  <c r="AT130" i="18"/>
  <c r="AS130" i="18"/>
  <c r="AR130" i="18"/>
  <c r="AQ130" i="18"/>
  <c r="AP130" i="18"/>
  <c r="AO130" i="18"/>
  <c r="AN130" i="18"/>
  <c r="AM130" i="18"/>
  <c r="AL130" i="18"/>
  <c r="AK130" i="18"/>
  <c r="AT129" i="18"/>
  <c r="AS129" i="18"/>
  <c r="AR129" i="18"/>
  <c r="AQ129" i="18"/>
  <c r="AP129" i="18"/>
  <c r="AO129" i="18"/>
  <c r="AN129" i="18"/>
  <c r="AM129" i="18"/>
  <c r="AL129" i="18"/>
  <c r="AK129" i="18"/>
  <c r="AT128" i="18"/>
  <c r="AS128" i="18"/>
  <c r="AR128" i="18"/>
  <c r="AQ128" i="18"/>
  <c r="AP128" i="18"/>
  <c r="AO128" i="18"/>
  <c r="AN128" i="18"/>
  <c r="AM128" i="18"/>
  <c r="AL128" i="18"/>
  <c r="AK128" i="18"/>
  <c r="AX127" i="18"/>
  <c r="AW127" i="18"/>
  <c r="AV127" i="18"/>
  <c r="AU127" i="18"/>
  <c r="AT127" i="18"/>
  <c r="AS127" i="18"/>
  <c r="AR127" i="18"/>
  <c r="AQ127" i="18"/>
  <c r="AP127" i="18"/>
  <c r="AO127" i="18"/>
  <c r="AN127" i="18"/>
  <c r="AM127" i="18"/>
  <c r="AL127" i="18"/>
  <c r="AK127" i="18"/>
  <c r="AX126" i="18"/>
  <c r="AW126" i="18"/>
  <c r="AV126" i="18"/>
  <c r="AU126" i="18"/>
  <c r="AT126" i="18"/>
  <c r="AS126" i="18"/>
  <c r="AR126" i="18"/>
  <c r="AQ126" i="18"/>
  <c r="AP126" i="18"/>
  <c r="AO126" i="18"/>
  <c r="AN126" i="18"/>
  <c r="AM126" i="18"/>
  <c r="AL126" i="18"/>
  <c r="AK126" i="18"/>
  <c r="AX125" i="18"/>
  <c r="AW125" i="18"/>
  <c r="AV125" i="18"/>
  <c r="AU125" i="18"/>
  <c r="AT125" i="18"/>
  <c r="AS125" i="18"/>
  <c r="AR125" i="18"/>
  <c r="AQ125" i="18"/>
  <c r="AP125" i="18"/>
  <c r="AO125" i="18"/>
  <c r="AN125" i="18"/>
  <c r="AM125" i="18"/>
  <c r="AL125" i="18"/>
  <c r="AK125" i="18"/>
  <c r="AX124" i="18"/>
  <c r="AW124" i="18"/>
  <c r="AV124" i="18"/>
  <c r="AU124" i="18"/>
  <c r="AT124" i="18"/>
  <c r="AS124" i="18"/>
  <c r="AR124" i="18"/>
  <c r="AQ124" i="18"/>
  <c r="AP124" i="18"/>
  <c r="AO124" i="18"/>
  <c r="AN124" i="18"/>
  <c r="AM124" i="18"/>
  <c r="AL124" i="18"/>
  <c r="AK124" i="18"/>
  <c r="BB123" i="18"/>
  <c r="BA123" i="18"/>
  <c r="AZ123" i="18"/>
  <c r="AY123" i="18"/>
  <c r="AV123" i="18"/>
  <c r="AU123" i="18"/>
  <c r="AT123" i="18"/>
  <c r="AS123" i="18"/>
  <c r="AR123" i="18"/>
  <c r="AQ123" i="18"/>
  <c r="AP123" i="18"/>
  <c r="AO123" i="18"/>
  <c r="AN123" i="18"/>
  <c r="AM123" i="18"/>
  <c r="AL123" i="18"/>
  <c r="AK123" i="18"/>
  <c r="BB122" i="18"/>
  <c r="BA122" i="18"/>
  <c r="AZ122" i="18"/>
  <c r="AY122" i="18"/>
  <c r="AV122" i="18"/>
  <c r="AU122" i="18"/>
  <c r="AT122" i="18"/>
  <c r="AS122" i="18"/>
  <c r="AR122" i="18"/>
  <c r="AQ122" i="18"/>
  <c r="AP122" i="18"/>
  <c r="AO122" i="18"/>
  <c r="AN122" i="18"/>
  <c r="AM122" i="18"/>
  <c r="AL122" i="18"/>
  <c r="AK122" i="18"/>
  <c r="BB121" i="18"/>
  <c r="BA121" i="18"/>
  <c r="AZ121" i="18"/>
  <c r="AY121" i="18"/>
  <c r="AV121" i="18"/>
  <c r="AU121" i="18"/>
  <c r="AT121" i="18"/>
  <c r="AS121" i="18"/>
  <c r="AR121" i="18"/>
  <c r="AQ121" i="18"/>
  <c r="AP121" i="18"/>
  <c r="AO121" i="18"/>
  <c r="AN121" i="18"/>
  <c r="AM121" i="18"/>
  <c r="AL121" i="18"/>
  <c r="AK121" i="18"/>
  <c r="BB120" i="18"/>
  <c r="BA120" i="18"/>
  <c r="AZ120" i="18"/>
  <c r="AY120" i="18"/>
  <c r="AV120" i="18"/>
  <c r="AU120" i="18"/>
  <c r="AT120" i="18"/>
  <c r="AS120" i="18"/>
  <c r="AR120" i="18"/>
  <c r="AQ120" i="18"/>
  <c r="AP120" i="18"/>
  <c r="AO120" i="18"/>
  <c r="AN120" i="18"/>
  <c r="AM120" i="18"/>
  <c r="AL120" i="18"/>
  <c r="AK120" i="18"/>
  <c r="BB119" i="18"/>
  <c r="BA119" i="18"/>
  <c r="AZ119" i="18"/>
  <c r="AY119" i="18"/>
  <c r="AX119" i="18"/>
  <c r="AW119" i="18"/>
  <c r="AV119" i="18"/>
  <c r="AU119" i="18"/>
  <c r="AT119" i="18"/>
  <c r="AS119" i="18"/>
  <c r="AR119" i="18"/>
  <c r="AQ119" i="18"/>
  <c r="AP119" i="18"/>
  <c r="AO119" i="18"/>
  <c r="AN119" i="18"/>
  <c r="AM119" i="18"/>
  <c r="AL119" i="18"/>
  <c r="AK119" i="18"/>
  <c r="BB118" i="18"/>
  <c r="BA118" i="18"/>
  <c r="AZ118" i="18"/>
  <c r="AY118" i="18"/>
  <c r="AX118" i="18"/>
  <c r="AW118" i="18"/>
  <c r="AV118" i="18"/>
  <c r="AU118" i="18"/>
  <c r="AT118" i="18"/>
  <c r="AS118" i="18"/>
  <c r="AR118" i="18"/>
  <c r="AQ118" i="18"/>
  <c r="AP118" i="18"/>
  <c r="AO118" i="18"/>
  <c r="AN118" i="18"/>
  <c r="AM118" i="18"/>
  <c r="AL118" i="18"/>
  <c r="AK118" i="18"/>
  <c r="BB117" i="18"/>
  <c r="BA117" i="18"/>
  <c r="AZ117" i="18"/>
  <c r="AY117" i="18"/>
  <c r="AX117" i="18"/>
  <c r="AW117" i="18"/>
  <c r="AV117" i="18"/>
  <c r="AU117" i="18"/>
  <c r="AT117" i="18"/>
  <c r="AS117" i="18"/>
  <c r="AR117" i="18"/>
  <c r="AQ117" i="18"/>
  <c r="AP117" i="18"/>
  <c r="AO117" i="18"/>
  <c r="AN117" i="18"/>
  <c r="AM117" i="18"/>
  <c r="AL117" i="18"/>
  <c r="AK117" i="18"/>
  <c r="BB116" i="18"/>
  <c r="BA116" i="18"/>
  <c r="AZ116" i="18"/>
  <c r="AY116" i="18"/>
  <c r="AX116" i="18"/>
  <c r="AW116" i="18"/>
  <c r="AV116" i="18"/>
  <c r="AU116" i="18"/>
  <c r="AT116" i="18"/>
  <c r="AS116" i="18"/>
  <c r="AR116" i="18"/>
  <c r="AQ116" i="18"/>
  <c r="AP116" i="18"/>
  <c r="AO116" i="18"/>
  <c r="AN116" i="18"/>
  <c r="AM116" i="18"/>
  <c r="AL116" i="18"/>
  <c r="AK116" i="18"/>
  <c r="BD115" i="18"/>
  <c r="BC115" i="18"/>
  <c r="BB115" i="18"/>
  <c r="BA115" i="18"/>
  <c r="AZ115" i="18"/>
  <c r="AY115" i="18"/>
  <c r="AX115" i="18"/>
  <c r="AW115" i="18"/>
  <c r="AV115" i="18"/>
  <c r="AU115" i="18"/>
  <c r="AT115" i="18"/>
  <c r="AS115" i="18"/>
  <c r="AR115" i="18"/>
  <c r="AQ115" i="18"/>
  <c r="AP115" i="18"/>
  <c r="AO115" i="18"/>
  <c r="AN115" i="18"/>
  <c r="AM115" i="18"/>
  <c r="AL115" i="18"/>
  <c r="AK115" i="18"/>
  <c r="BD114" i="18"/>
  <c r="BC114" i="18"/>
  <c r="BB114" i="18"/>
  <c r="BA114" i="18"/>
  <c r="AZ114" i="18"/>
  <c r="AY114" i="18"/>
  <c r="AX114" i="18"/>
  <c r="AW114" i="18"/>
  <c r="AV114" i="18"/>
  <c r="AU114" i="18"/>
  <c r="AT114" i="18"/>
  <c r="AS114" i="18"/>
  <c r="AR114" i="18"/>
  <c r="AQ114" i="18"/>
  <c r="AP114" i="18"/>
  <c r="AO114" i="18"/>
  <c r="AN114" i="18"/>
  <c r="AM114" i="18"/>
  <c r="AL114" i="18"/>
  <c r="AK114" i="18"/>
  <c r="BD113" i="18"/>
  <c r="BC113" i="18"/>
  <c r="BB113" i="18"/>
  <c r="BA113" i="18"/>
  <c r="AZ113" i="18"/>
  <c r="AY113" i="18"/>
  <c r="AX113" i="18"/>
  <c r="AW113" i="18"/>
  <c r="AV113" i="18"/>
  <c r="AU113" i="18"/>
  <c r="AT113" i="18"/>
  <c r="AS113" i="18"/>
  <c r="AR113" i="18"/>
  <c r="AQ113" i="18"/>
  <c r="AP113" i="18"/>
  <c r="AO113" i="18"/>
  <c r="AN113" i="18"/>
  <c r="AM113" i="18"/>
  <c r="AL113" i="18"/>
  <c r="AK113" i="18"/>
  <c r="BD112" i="18"/>
  <c r="BC112" i="18"/>
  <c r="BB112" i="18"/>
  <c r="BA112" i="18"/>
  <c r="AZ112" i="18"/>
  <c r="AY112" i="18"/>
  <c r="AX112" i="18"/>
  <c r="AW112" i="18"/>
  <c r="AV112" i="18"/>
  <c r="AU112" i="18"/>
  <c r="AT112" i="18"/>
  <c r="AS112" i="18"/>
  <c r="AR112" i="18"/>
  <c r="AQ112" i="18"/>
  <c r="AP112" i="18"/>
  <c r="AO112" i="18"/>
  <c r="AN112" i="18"/>
  <c r="AM112" i="18"/>
  <c r="AL112" i="18"/>
  <c r="AK112" i="18"/>
  <c r="BF111" i="18"/>
  <c r="BE111" i="18"/>
  <c r="BD111" i="18"/>
  <c r="BC111" i="18"/>
  <c r="BB111" i="18"/>
  <c r="BA111" i="18"/>
  <c r="AZ111" i="18"/>
  <c r="AY111" i="18"/>
  <c r="AX111" i="18"/>
  <c r="AW111" i="18"/>
  <c r="AV111" i="18"/>
  <c r="AU111" i="18"/>
  <c r="AT111" i="18"/>
  <c r="AS111" i="18"/>
  <c r="AR111" i="18"/>
  <c r="AQ111" i="18"/>
  <c r="AP111" i="18"/>
  <c r="AO111" i="18"/>
  <c r="AN111" i="18"/>
  <c r="AM111" i="18"/>
  <c r="AL111" i="18"/>
  <c r="AK111" i="18"/>
  <c r="BF110" i="18"/>
  <c r="BE110" i="18"/>
  <c r="BD110" i="18"/>
  <c r="BC110" i="18"/>
  <c r="BB110" i="18"/>
  <c r="BA110" i="18"/>
  <c r="AZ110" i="18"/>
  <c r="AY110" i="18"/>
  <c r="AX110" i="18"/>
  <c r="AW110" i="18"/>
  <c r="AV110" i="18"/>
  <c r="AU110" i="18"/>
  <c r="AT110" i="18"/>
  <c r="AS110" i="18"/>
  <c r="AR110" i="18"/>
  <c r="AQ110" i="18"/>
  <c r="AP110" i="18"/>
  <c r="AO110" i="18"/>
  <c r="AN110" i="18"/>
  <c r="AM110" i="18"/>
  <c r="AL110" i="18"/>
  <c r="AK110" i="18"/>
  <c r="BF109" i="18"/>
  <c r="BE109" i="18"/>
  <c r="BD109" i="18"/>
  <c r="BC109" i="18"/>
  <c r="BB109" i="18"/>
  <c r="BA109" i="18"/>
  <c r="AZ109" i="18"/>
  <c r="AY109" i="18"/>
  <c r="AX109" i="18"/>
  <c r="AW109" i="18"/>
  <c r="AV109" i="18"/>
  <c r="AU109" i="18"/>
  <c r="AT109" i="18"/>
  <c r="AS109" i="18"/>
  <c r="AR109" i="18"/>
  <c r="AQ109" i="18"/>
  <c r="AP109" i="18"/>
  <c r="AO109" i="18"/>
  <c r="AN109" i="18"/>
  <c r="AM109" i="18"/>
  <c r="AL109" i="18"/>
  <c r="AK109" i="18"/>
  <c r="BF108" i="18"/>
  <c r="BE108" i="18"/>
  <c r="BD108" i="18"/>
  <c r="BC108" i="18"/>
  <c r="BB108" i="18"/>
  <c r="BA108" i="18"/>
  <c r="AZ108" i="18"/>
  <c r="AY108" i="18"/>
  <c r="AX108" i="18"/>
  <c r="AW108" i="18"/>
  <c r="AV108" i="18"/>
  <c r="AU108" i="18"/>
  <c r="AT108" i="18"/>
  <c r="AS108" i="18"/>
  <c r="AR108" i="18"/>
  <c r="AQ108" i="18"/>
  <c r="AP108" i="18"/>
  <c r="AO108" i="18"/>
  <c r="AN108" i="18"/>
  <c r="AM108" i="18"/>
  <c r="AL108" i="18"/>
  <c r="AK108" i="18"/>
  <c r="BH107" i="18"/>
  <c r="BG107" i="18"/>
  <c r="BF107" i="18"/>
  <c r="BE107" i="18"/>
  <c r="BD107" i="18"/>
  <c r="BC107" i="18"/>
  <c r="BB107" i="18"/>
  <c r="BA107" i="18"/>
  <c r="AZ107" i="18"/>
  <c r="AY107" i="18"/>
  <c r="AX107" i="18"/>
  <c r="AW107" i="18"/>
  <c r="AV107" i="18"/>
  <c r="AU107" i="18"/>
  <c r="AT107" i="18"/>
  <c r="AS107" i="18"/>
  <c r="AR107" i="18"/>
  <c r="AQ107" i="18"/>
  <c r="AP107" i="18"/>
  <c r="AO107" i="18"/>
  <c r="AN107" i="18"/>
  <c r="AM107" i="18"/>
  <c r="AL107" i="18"/>
  <c r="AK107" i="18"/>
  <c r="BH106" i="18"/>
  <c r="BG106" i="18"/>
  <c r="BF106" i="18"/>
  <c r="BE106" i="18"/>
  <c r="BD106" i="18"/>
  <c r="BC106" i="18"/>
  <c r="BB106" i="18"/>
  <c r="BA106" i="18"/>
  <c r="AZ106" i="18"/>
  <c r="AY106" i="18"/>
  <c r="AX106" i="18"/>
  <c r="AW106" i="18"/>
  <c r="AV106" i="18"/>
  <c r="AU106" i="18"/>
  <c r="AT106" i="18"/>
  <c r="AS106" i="18"/>
  <c r="AR106" i="18"/>
  <c r="AQ106" i="18"/>
  <c r="AP106" i="18"/>
  <c r="AO106" i="18"/>
  <c r="AN106" i="18"/>
  <c r="AM106" i="18"/>
  <c r="AL106" i="18"/>
  <c r="AK106" i="18"/>
  <c r="BH105" i="18"/>
  <c r="BG105" i="18"/>
  <c r="BF105" i="18"/>
  <c r="BE105" i="18"/>
  <c r="BD105" i="18"/>
  <c r="BC105" i="18"/>
  <c r="BB105" i="18"/>
  <c r="BA105" i="18"/>
  <c r="AZ105" i="18"/>
  <c r="AY105" i="18"/>
  <c r="AX105" i="18"/>
  <c r="AW105" i="18"/>
  <c r="AV105" i="18"/>
  <c r="AU105" i="18"/>
  <c r="AT105" i="18"/>
  <c r="AS105" i="18"/>
  <c r="AR105" i="18"/>
  <c r="AQ105" i="18"/>
  <c r="AP105" i="18"/>
  <c r="AO105" i="18"/>
  <c r="AN105" i="18"/>
  <c r="AM105" i="18"/>
  <c r="AL105" i="18"/>
  <c r="AK105" i="18"/>
  <c r="BH104" i="18"/>
  <c r="BG104" i="18"/>
  <c r="BF104" i="18"/>
  <c r="BE104" i="18"/>
  <c r="BD104" i="18"/>
  <c r="BC104" i="18"/>
  <c r="BB104" i="18"/>
  <c r="BA104" i="18"/>
  <c r="AZ104" i="18"/>
  <c r="AY104" i="18"/>
  <c r="AX104" i="18"/>
  <c r="AW104" i="18"/>
  <c r="AV104" i="18"/>
  <c r="AU104" i="18"/>
  <c r="AT104" i="18"/>
  <c r="AS104" i="18"/>
  <c r="AR104" i="18"/>
  <c r="AQ104" i="18"/>
  <c r="AP104" i="18"/>
  <c r="AO104" i="18"/>
  <c r="AN104" i="18"/>
  <c r="AM104" i="18"/>
  <c r="AL104" i="18"/>
  <c r="AK104" i="18"/>
  <c r="AT67" i="18"/>
  <c r="AS67" i="18"/>
  <c r="AR67" i="18"/>
  <c r="AQ67" i="18"/>
  <c r="AP67" i="18"/>
  <c r="AO67" i="18"/>
  <c r="AN67" i="18"/>
  <c r="AM67" i="18"/>
  <c r="AL67" i="18"/>
  <c r="AK67" i="18"/>
  <c r="AT66" i="18"/>
  <c r="AS66" i="18"/>
  <c r="AR66" i="18"/>
  <c r="AQ66" i="18"/>
  <c r="AP66" i="18"/>
  <c r="AO66" i="18"/>
  <c r="AN66" i="18"/>
  <c r="AM66" i="18"/>
  <c r="AL66" i="18"/>
  <c r="AK66" i="18"/>
  <c r="AT65" i="18"/>
  <c r="AS65" i="18"/>
  <c r="AR65" i="18"/>
  <c r="AQ65" i="18"/>
  <c r="AP65" i="18"/>
  <c r="AO65" i="18"/>
  <c r="AN65" i="18"/>
  <c r="AM65" i="18"/>
  <c r="AL65" i="18"/>
  <c r="AK65" i="18"/>
  <c r="AT64" i="18"/>
  <c r="AS64" i="18"/>
  <c r="AR64" i="18"/>
  <c r="AQ64" i="18"/>
  <c r="AP64" i="18"/>
  <c r="AO64" i="18"/>
  <c r="AN64" i="18"/>
  <c r="AM64" i="18"/>
  <c r="AL64" i="18"/>
  <c r="AK64" i="18"/>
  <c r="AX63" i="18"/>
  <c r="AW63" i="18"/>
  <c r="AV63" i="18"/>
  <c r="AU63" i="18"/>
  <c r="AT63" i="18"/>
  <c r="AS63" i="18"/>
  <c r="AR63" i="18"/>
  <c r="AQ63" i="18"/>
  <c r="AP63" i="18"/>
  <c r="AO63" i="18"/>
  <c r="AN63" i="18"/>
  <c r="AM63" i="18"/>
  <c r="AL63" i="18"/>
  <c r="AK63" i="18"/>
  <c r="AX62" i="18"/>
  <c r="AW62" i="18"/>
  <c r="AV62" i="18"/>
  <c r="AU62" i="18"/>
  <c r="AT62" i="18"/>
  <c r="AS62" i="18"/>
  <c r="AR62" i="18"/>
  <c r="AQ62" i="18"/>
  <c r="AP62" i="18"/>
  <c r="AO62" i="18"/>
  <c r="AN62" i="18"/>
  <c r="AM62" i="18"/>
  <c r="AL62" i="18"/>
  <c r="AK62" i="18"/>
  <c r="AX61" i="18"/>
  <c r="AW61" i="18"/>
  <c r="AV61" i="18"/>
  <c r="AU61" i="18"/>
  <c r="AT61" i="18"/>
  <c r="AS61" i="18"/>
  <c r="AR61" i="18"/>
  <c r="AQ61" i="18"/>
  <c r="AP61" i="18"/>
  <c r="AO61" i="18"/>
  <c r="AN61" i="18"/>
  <c r="AM61" i="18"/>
  <c r="AL61" i="18"/>
  <c r="AK61" i="18"/>
  <c r="AX60" i="18"/>
  <c r="AW60" i="18"/>
  <c r="AV60" i="18"/>
  <c r="AU60" i="18"/>
  <c r="AT60" i="18"/>
  <c r="AS60" i="18"/>
  <c r="AR60" i="18"/>
  <c r="AQ60" i="18"/>
  <c r="AP60" i="18"/>
  <c r="AO60" i="18"/>
  <c r="AN60" i="18"/>
  <c r="AM60" i="18"/>
  <c r="AL60" i="18"/>
  <c r="AK60" i="18"/>
  <c r="BB59" i="18"/>
  <c r="BA59" i="18"/>
  <c r="AZ59" i="18"/>
  <c r="AY59" i="18"/>
  <c r="AV59" i="18"/>
  <c r="AU59" i="18"/>
  <c r="AT59" i="18"/>
  <c r="AS59" i="18"/>
  <c r="AR59" i="18"/>
  <c r="AQ59" i="18"/>
  <c r="AP59" i="18"/>
  <c r="AO59" i="18"/>
  <c r="AN59" i="18"/>
  <c r="AM59" i="18"/>
  <c r="AL59" i="18"/>
  <c r="AK59" i="18"/>
  <c r="BB58" i="18"/>
  <c r="BA58" i="18"/>
  <c r="AZ58" i="18"/>
  <c r="AY58" i="18"/>
  <c r="AV58" i="18"/>
  <c r="AU58" i="18"/>
  <c r="AT58" i="18"/>
  <c r="AS58" i="18"/>
  <c r="AR58" i="18"/>
  <c r="AQ58" i="18"/>
  <c r="AP58" i="18"/>
  <c r="AO58" i="18"/>
  <c r="AN58" i="18"/>
  <c r="AM58" i="18"/>
  <c r="AL58" i="18"/>
  <c r="AK58" i="18"/>
  <c r="BB57" i="18"/>
  <c r="BA57" i="18"/>
  <c r="AZ57" i="18"/>
  <c r="AY57" i="18"/>
  <c r="AV57" i="18"/>
  <c r="AU57" i="18"/>
  <c r="AT57" i="18"/>
  <c r="AS57" i="18"/>
  <c r="AR57" i="18"/>
  <c r="AQ57" i="18"/>
  <c r="AP57" i="18"/>
  <c r="AO57" i="18"/>
  <c r="AN57" i="18"/>
  <c r="AM57" i="18"/>
  <c r="AL57" i="18"/>
  <c r="AK57" i="18"/>
  <c r="BB56" i="18"/>
  <c r="BA56" i="18"/>
  <c r="AZ56" i="18"/>
  <c r="AY56" i="18"/>
  <c r="AV56" i="18"/>
  <c r="AU56" i="18"/>
  <c r="AT56" i="18"/>
  <c r="AS56" i="18"/>
  <c r="AR56" i="18"/>
  <c r="AQ56" i="18"/>
  <c r="AP56" i="18"/>
  <c r="AO56" i="18"/>
  <c r="AN56" i="18"/>
  <c r="AM56" i="18"/>
  <c r="AL56" i="18"/>
  <c r="AK56" i="18"/>
  <c r="BB55" i="18"/>
  <c r="BA55" i="18"/>
  <c r="AZ55" i="18"/>
  <c r="AY55" i="18"/>
  <c r="AX55" i="18"/>
  <c r="AW55" i="18"/>
  <c r="AV55" i="18"/>
  <c r="AU55" i="18"/>
  <c r="AT55" i="18"/>
  <c r="AS55" i="18"/>
  <c r="AR55" i="18"/>
  <c r="AQ55" i="18"/>
  <c r="AP55" i="18"/>
  <c r="AO55" i="18"/>
  <c r="AN55" i="18"/>
  <c r="AM55" i="18"/>
  <c r="AL55" i="18"/>
  <c r="AK55" i="18"/>
  <c r="BB54" i="18"/>
  <c r="BA54" i="18"/>
  <c r="AZ54" i="18"/>
  <c r="AY54" i="18"/>
  <c r="AX54" i="18"/>
  <c r="AW54" i="18"/>
  <c r="AV54" i="18"/>
  <c r="AU54" i="18"/>
  <c r="AT54" i="18"/>
  <c r="AS54" i="18"/>
  <c r="AR54" i="18"/>
  <c r="AQ54" i="18"/>
  <c r="AP54" i="18"/>
  <c r="AO54" i="18"/>
  <c r="AN54" i="18"/>
  <c r="AM54" i="18"/>
  <c r="AL54" i="18"/>
  <c r="AK54" i="18"/>
  <c r="BB53" i="18"/>
  <c r="BA53" i="18"/>
  <c r="AZ53" i="18"/>
  <c r="AY53" i="18"/>
  <c r="AX53" i="18"/>
  <c r="AW53" i="18"/>
  <c r="AV53" i="18"/>
  <c r="AU53" i="18"/>
  <c r="AT53" i="18"/>
  <c r="AS53" i="18"/>
  <c r="AR53" i="18"/>
  <c r="AQ53" i="18"/>
  <c r="AP53" i="18"/>
  <c r="AO53" i="18"/>
  <c r="AN53" i="18"/>
  <c r="AM53" i="18"/>
  <c r="AL53" i="18"/>
  <c r="AK53" i="18"/>
  <c r="BB52" i="18"/>
  <c r="BA52" i="18"/>
  <c r="AZ52" i="18"/>
  <c r="AY52" i="18"/>
  <c r="AX52" i="18"/>
  <c r="AW52" i="18"/>
  <c r="AV52" i="18"/>
  <c r="AU52" i="18"/>
  <c r="AT52" i="18"/>
  <c r="AS52" i="18"/>
  <c r="AR52" i="18"/>
  <c r="AQ52" i="18"/>
  <c r="AP52" i="18"/>
  <c r="AO52" i="18"/>
  <c r="AN52" i="18"/>
  <c r="AM52" i="18"/>
  <c r="AL52" i="18"/>
  <c r="AK52" i="18"/>
  <c r="BD51" i="18"/>
  <c r="BC51" i="18"/>
  <c r="BB51" i="18"/>
  <c r="BA51" i="18"/>
  <c r="AZ51" i="18"/>
  <c r="AY51" i="18"/>
  <c r="AX51" i="18"/>
  <c r="AW51" i="18"/>
  <c r="AV51" i="18"/>
  <c r="AU51" i="18"/>
  <c r="AT51" i="18"/>
  <c r="AS51" i="18"/>
  <c r="AR51" i="18"/>
  <c r="AQ51" i="18"/>
  <c r="AP51" i="18"/>
  <c r="AO51" i="18"/>
  <c r="AN51" i="18"/>
  <c r="AM51" i="18"/>
  <c r="AL51" i="18"/>
  <c r="AK51" i="18"/>
  <c r="BD50" i="18"/>
  <c r="BC50" i="18"/>
  <c r="BB50" i="18"/>
  <c r="BA50" i="18"/>
  <c r="AZ50" i="18"/>
  <c r="AY50" i="18"/>
  <c r="AX50" i="18"/>
  <c r="AW50" i="18"/>
  <c r="AV50" i="18"/>
  <c r="AU50" i="18"/>
  <c r="AT50" i="18"/>
  <c r="AS50" i="18"/>
  <c r="AR50" i="18"/>
  <c r="AQ50" i="18"/>
  <c r="AP50" i="18"/>
  <c r="AO50" i="18"/>
  <c r="AN50" i="18"/>
  <c r="AM50" i="18"/>
  <c r="AL50" i="18"/>
  <c r="AK50" i="18"/>
  <c r="BD49" i="18"/>
  <c r="BC49" i="18"/>
  <c r="BB49" i="18"/>
  <c r="BA49" i="18"/>
  <c r="AZ49" i="18"/>
  <c r="AY49" i="18"/>
  <c r="AX49" i="18"/>
  <c r="AW49" i="18"/>
  <c r="AV49" i="18"/>
  <c r="AU49" i="18"/>
  <c r="AT49" i="18"/>
  <c r="AS49" i="18"/>
  <c r="AR49" i="18"/>
  <c r="AQ49" i="18"/>
  <c r="AP49" i="18"/>
  <c r="AO49" i="18"/>
  <c r="AN49" i="18"/>
  <c r="AM49" i="18"/>
  <c r="AL49" i="18"/>
  <c r="AK49" i="18"/>
  <c r="BD48" i="18"/>
  <c r="BC48" i="18"/>
  <c r="BB48" i="18"/>
  <c r="BA48" i="18"/>
  <c r="AZ48" i="18"/>
  <c r="AY48" i="18"/>
  <c r="AX48" i="18"/>
  <c r="AW48" i="18"/>
  <c r="AV48" i="18"/>
  <c r="AU48" i="18"/>
  <c r="AT48" i="18"/>
  <c r="AS48" i="18"/>
  <c r="AR48" i="18"/>
  <c r="AQ48" i="18"/>
  <c r="AP48" i="18"/>
  <c r="AO48" i="18"/>
  <c r="AN48" i="18"/>
  <c r="AM48" i="18"/>
  <c r="AL48" i="18"/>
  <c r="AK48" i="18"/>
  <c r="BF47" i="18"/>
  <c r="BE47" i="18"/>
  <c r="BD47" i="18"/>
  <c r="BC47" i="18"/>
  <c r="BB47" i="18"/>
  <c r="BA47" i="18"/>
  <c r="AZ47" i="18"/>
  <c r="AY47" i="18"/>
  <c r="AX47" i="18"/>
  <c r="AW47" i="18"/>
  <c r="AV47" i="18"/>
  <c r="AU47" i="18"/>
  <c r="AT47" i="18"/>
  <c r="AS47" i="18"/>
  <c r="AR47" i="18"/>
  <c r="AQ47" i="18"/>
  <c r="AP47" i="18"/>
  <c r="AO47" i="18"/>
  <c r="AN47" i="18"/>
  <c r="AM47" i="18"/>
  <c r="AL47" i="18"/>
  <c r="AK47" i="18"/>
  <c r="BF46" i="18"/>
  <c r="BE46" i="18"/>
  <c r="BD46" i="18"/>
  <c r="BC46" i="18"/>
  <c r="BB46" i="18"/>
  <c r="BA46" i="18"/>
  <c r="AZ46" i="18"/>
  <c r="AY46" i="18"/>
  <c r="AX46" i="18"/>
  <c r="AW46" i="18"/>
  <c r="AV46" i="18"/>
  <c r="AU46" i="18"/>
  <c r="AT46" i="18"/>
  <c r="AS46" i="18"/>
  <c r="AR46" i="18"/>
  <c r="AQ46" i="18"/>
  <c r="AP46" i="18"/>
  <c r="AO46" i="18"/>
  <c r="AN46" i="18"/>
  <c r="AM46" i="18"/>
  <c r="AL46" i="18"/>
  <c r="AK46" i="18"/>
  <c r="BF45" i="18"/>
  <c r="BE45" i="18"/>
  <c r="BD45" i="18"/>
  <c r="BC45" i="18"/>
  <c r="BB45" i="18"/>
  <c r="BA45" i="18"/>
  <c r="AZ45" i="18"/>
  <c r="AY45" i="18"/>
  <c r="AX45" i="18"/>
  <c r="AW45" i="18"/>
  <c r="AV45" i="18"/>
  <c r="AU45" i="18"/>
  <c r="AT45" i="18"/>
  <c r="AS45" i="18"/>
  <c r="AR45" i="18"/>
  <c r="AQ45" i="18"/>
  <c r="AP45" i="18"/>
  <c r="AO45" i="18"/>
  <c r="AN45" i="18"/>
  <c r="AM45" i="18"/>
  <c r="AL45" i="18"/>
  <c r="AK45" i="18"/>
  <c r="BF44" i="18"/>
  <c r="BE44" i="18"/>
  <c r="BD44" i="18"/>
  <c r="BC44" i="18"/>
  <c r="BB44" i="18"/>
  <c r="BA44" i="18"/>
  <c r="AZ44" i="18"/>
  <c r="AY44" i="18"/>
  <c r="AX44" i="18"/>
  <c r="AW44" i="18"/>
  <c r="AV44" i="18"/>
  <c r="AU44" i="18"/>
  <c r="AT44" i="18"/>
  <c r="AS44" i="18"/>
  <c r="AR44" i="18"/>
  <c r="AQ44" i="18"/>
  <c r="AP44" i="18"/>
  <c r="AO44" i="18"/>
  <c r="AN44" i="18"/>
  <c r="AM44" i="18"/>
  <c r="AL44" i="18"/>
  <c r="AK44" i="18"/>
  <c r="BH43" i="18"/>
  <c r="BG43" i="18"/>
  <c r="BF43" i="18"/>
  <c r="BE43" i="18"/>
  <c r="BD43" i="18"/>
  <c r="BC43" i="18"/>
  <c r="BB43" i="18"/>
  <c r="BA43" i="18"/>
  <c r="AZ43" i="18"/>
  <c r="AY43" i="18"/>
  <c r="AX43" i="18"/>
  <c r="AW43" i="18"/>
  <c r="AV43" i="18"/>
  <c r="AU43" i="18"/>
  <c r="AT43" i="18"/>
  <c r="AS43" i="18"/>
  <c r="AR43" i="18"/>
  <c r="AQ43" i="18"/>
  <c r="AP43" i="18"/>
  <c r="AO43" i="18"/>
  <c r="AN43" i="18"/>
  <c r="AM43" i="18"/>
  <c r="AL43" i="18"/>
  <c r="AK43" i="18"/>
  <c r="BH42" i="18"/>
  <c r="BG42" i="18"/>
  <c r="BF42" i="18"/>
  <c r="BE42" i="18"/>
  <c r="BD42" i="18"/>
  <c r="BC42" i="18"/>
  <c r="BB42" i="18"/>
  <c r="BA42" i="18"/>
  <c r="AZ42" i="18"/>
  <c r="AY42" i="18"/>
  <c r="AX42" i="18"/>
  <c r="AW42" i="18"/>
  <c r="AV42" i="18"/>
  <c r="AU42" i="18"/>
  <c r="AT42" i="18"/>
  <c r="AS42" i="18"/>
  <c r="AR42" i="18"/>
  <c r="AQ42" i="18"/>
  <c r="AP42" i="18"/>
  <c r="AO42" i="18"/>
  <c r="AN42" i="18"/>
  <c r="AM42" i="18"/>
  <c r="AL42" i="18"/>
  <c r="AK42" i="18"/>
  <c r="BH41" i="18"/>
  <c r="BG41" i="18"/>
  <c r="BF41" i="18"/>
  <c r="BE41" i="18"/>
  <c r="BD41" i="18"/>
  <c r="BC41" i="18"/>
  <c r="BB41" i="18"/>
  <c r="BA41" i="18"/>
  <c r="AZ41" i="18"/>
  <c r="AY41" i="18"/>
  <c r="AX41" i="18"/>
  <c r="AW41" i="18"/>
  <c r="AV41" i="18"/>
  <c r="AU41" i="18"/>
  <c r="AT41" i="18"/>
  <c r="AS41" i="18"/>
  <c r="AR41" i="18"/>
  <c r="AQ41" i="18"/>
  <c r="AP41" i="18"/>
  <c r="AO41" i="18"/>
  <c r="AN41" i="18"/>
  <c r="AM41" i="18"/>
  <c r="AL41" i="18"/>
  <c r="AK41" i="18"/>
  <c r="BH40" i="18"/>
  <c r="BG40" i="18"/>
  <c r="BF40" i="18"/>
  <c r="BE40" i="18"/>
  <c r="BD40" i="18"/>
  <c r="BC40" i="18"/>
  <c r="BB40" i="18"/>
  <c r="BA40" i="18"/>
  <c r="AZ40" i="18"/>
  <c r="AY40" i="18"/>
  <c r="AX40" i="18"/>
  <c r="AW40" i="18"/>
  <c r="AV40" i="18"/>
  <c r="AU40" i="18"/>
  <c r="AT40" i="18"/>
  <c r="AS40" i="18"/>
  <c r="AR40" i="18"/>
  <c r="AQ40" i="18"/>
  <c r="AP40" i="18"/>
  <c r="AO40" i="18"/>
  <c r="AN40" i="18"/>
  <c r="AM40" i="18"/>
  <c r="AL40" i="18"/>
  <c r="AK40" i="18"/>
  <c r="AT35" i="18"/>
  <c r="AS35" i="18"/>
  <c r="AR35" i="18"/>
  <c r="AQ35" i="18"/>
  <c r="AP35" i="18"/>
  <c r="AO35" i="18"/>
  <c r="AN35" i="18"/>
  <c r="AM35" i="18"/>
  <c r="AL35" i="18"/>
  <c r="AK35" i="18"/>
  <c r="AT34" i="18"/>
  <c r="AS34" i="18"/>
  <c r="AR34" i="18"/>
  <c r="AQ34" i="18"/>
  <c r="AP34" i="18"/>
  <c r="AO34" i="18"/>
  <c r="AN34" i="18"/>
  <c r="AM34" i="18"/>
  <c r="AL34" i="18"/>
  <c r="AK34" i="18"/>
  <c r="AT33" i="18"/>
  <c r="AS33" i="18"/>
  <c r="AR33" i="18"/>
  <c r="AQ33" i="18"/>
  <c r="AP33" i="18"/>
  <c r="AO33" i="18"/>
  <c r="AN33" i="18"/>
  <c r="AM33" i="18"/>
  <c r="AL33" i="18"/>
  <c r="AK33" i="18"/>
  <c r="AT32" i="18"/>
  <c r="AS32" i="18"/>
  <c r="AR32" i="18"/>
  <c r="AQ32" i="18"/>
  <c r="AP32" i="18"/>
  <c r="AO32" i="18"/>
  <c r="AN32" i="18"/>
  <c r="AM32" i="18"/>
  <c r="AL32" i="18"/>
  <c r="AK32" i="18"/>
  <c r="AX31" i="18"/>
  <c r="AW31" i="18"/>
  <c r="AV31" i="18"/>
  <c r="AU31" i="18"/>
  <c r="AT31" i="18"/>
  <c r="AS31" i="18"/>
  <c r="AR31" i="18"/>
  <c r="AQ31" i="18"/>
  <c r="AP31" i="18"/>
  <c r="AO31" i="18"/>
  <c r="AN31" i="18"/>
  <c r="AM31" i="18"/>
  <c r="AL31" i="18"/>
  <c r="AK31" i="18"/>
  <c r="AX30" i="18"/>
  <c r="AW30" i="18"/>
  <c r="AV30" i="18"/>
  <c r="AU30" i="18"/>
  <c r="AT30" i="18"/>
  <c r="AS30" i="18"/>
  <c r="AR30" i="18"/>
  <c r="AQ30" i="18"/>
  <c r="AP30" i="18"/>
  <c r="AO30" i="18"/>
  <c r="AN30" i="18"/>
  <c r="AM30" i="18"/>
  <c r="AL30" i="18"/>
  <c r="AK30" i="18"/>
  <c r="AX29" i="18"/>
  <c r="AW29" i="18"/>
  <c r="AV29" i="18"/>
  <c r="AU29" i="18"/>
  <c r="AT29" i="18"/>
  <c r="AS29" i="18"/>
  <c r="AR29" i="18"/>
  <c r="AQ29" i="18"/>
  <c r="AP29" i="18"/>
  <c r="AO29" i="18"/>
  <c r="AN29" i="18"/>
  <c r="AM29" i="18"/>
  <c r="AL29" i="18"/>
  <c r="AK29" i="18"/>
  <c r="AX28" i="18"/>
  <c r="AW28" i="18"/>
  <c r="AV28" i="18"/>
  <c r="AU28" i="18"/>
  <c r="AT28" i="18"/>
  <c r="AS28" i="18"/>
  <c r="AR28" i="18"/>
  <c r="AQ28" i="18"/>
  <c r="AP28" i="18"/>
  <c r="AO28" i="18"/>
  <c r="AN28" i="18"/>
  <c r="AM28" i="18"/>
  <c r="AL28" i="18"/>
  <c r="AK28" i="18"/>
  <c r="R28" i="18"/>
  <c r="Q28" i="18"/>
  <c r="BB27" i="18"/>
  <c r="BA27" i="18"/>
  <c r="AZ27" i="18"/>
  <c r="AY27" i="18"/>
  <c r="AV27" i="18"/>
  <c r="AU27" i="18"/>
  <c r="AT27" i="18"/>
  <c r="AS27" i="18"/>
  <c r="AR27" i="18"/>
  <c r="AQ27" i="18"/>
  <c r="AP27" i="18"/>
  <c r="AO27" i="18"/>
  <c r="AN27" i="18"/>
  <c r="AM27" i="18"/>
  <c r="AL27" i="18"/>
  <c r="AK27" i="18"/>
  <c r="R27" i="18"/>
  <c r="BB26" i="18"/>
  <c r="BA26" i="18"/>
  <c r="AZ26" i="18"/>
  <c r="AY26" i="18"/>
  <c r="AV26" i="18"/>
  <c r="AU26" i="18"/>
  <c r="AT26" i="18"/>
  <c r="AS26" i="18"/>
  <c r="AR26" i="18"/>
  <c r="AQ26" i="18"/>
  <c r="AP26" i="18"/>
  <c r="AO26" i="18"/>
  <c r="AN26" i="18"/>
  <c r="AM26" i="18"/>
  <c r="AL26" i="18"/>
  <c r="AK26" i="18"/>
  <c r="T26" i="18"/>
  <c r="Q26" i="18"/>
  <c r="BB25" i="18"/>
  <c r="BA25" i="18"/>
  <c r="AZ25" i="18"/>
  <c r="AY25" i="18"/>
  <c r="AV25" i="18"/>
  <c r="AU25" i="18"/>
  <c r="AT25" i="18"/>
  <c r="AS25" i="18"/>
  <c r="AR25" i="18"/>
  <c r="AQ25" i="18"/>
  <c r="AP25" i="18"/>
  <c r="AO25" i="18"/>
  <c r="AN25" i="18"/>
  <c r="AM25" i="18"/>
  <c r="AL25" i="18"/>
  <c r="AK25" i="18"/>
  <c r="BB24" i="18"/>
  <c r="BA24" i="18"/>
  <c r="AZ24" i="18"/>
  <c r="AY24" i="18"/>
  <c r="AV24" i="18"/>
  <c r="AU24" i="18"/>
  <c r="AT24" i="18"/>
  <c r="AS24" i="18"/>
  <c r="AR24" i="18"/>
  <c r="AQ24" i="18"/>
  <c r="AP24" i="18"/>
  <c r="AO24" i="18"/>
  <c r="AN24" i="18"/>
  <c r="AM24" i="18"/>
  <c r="AL24" i="18"/>
  <c r="AK24" i="18"/>
  <c r="BB23" i="18"/>
  <c r="BA23" i="18"/>
  <c r="AZ23" i="18"/>
  <c r="AY23" i="18"/>
  <c r="AX23" i="18"/>
  <c r="AW23" i="18"/>
  <c r="AV23" i="18"/>
  <c r="AU23" i="18"/>
  <c r="AT23" i="18"/>
  <c r="AS23" i="18"/>
  <c r="AR23" i="18"/>
  <c r="AQ23" i="18"/>
  <c r="AP23" i="18"/>
  <c r="AO23" i="18"/>
  <c r="AN23" i="18"/>
  <c r="AM23" i="18"/>
  <c r="AL23" i="18"/>
  <c r="AK23" i="18"/>
  <c r="Q23" i="18"/>
  <c r="N23" i="18"/>
  <c r="BB22" i="18"/>
  <c r="BA22" i="18"/>
  <c r="AZ22" i="18"/>
  <c r="AY22" i="18"/>
  <c r="AX22" i="18"/>
  <c r="AW22" i="18"/>
  <c r="AV22" i="18"/>
  <c r="AU22" i="18"/>
  <c r="AT22" i="18"/>
  <c r="AS22" i="18"/>
  <c r="AR22" i="18"/>
  <c r="AQ22" i="18"/>
  <c r="AP22" i="18"/>
  <c r="AO22" i="18"/>
  <c r="AN22" i="18"/>
  <c r="AM22" i="18"/>
  <c r="AL22" i="18"/>
  <c r="AK22" i="18"/>
  <c r="S22" i="18"/>
  <c r="Q22" i="18"/>
  <c r="F22" i="18"/>
  <c r="BB21" i="18"/>
  <c r="BA21" i="18"/>
  <c r="AZ21" i="18"/>
  <c r="AY21" i="18"/>
  <c r="AX21" i="18"/>
  <c r="AW21" i="18"/>
  <c r="AV21" i="18"/>
  <c r="AU21" i="18"/>
  <c r="AT21" i="18"/>
  <c r="AS21" i="18"/>
  <c r="AR21" i="18"/>
  <c r="AQ21" i="18"/>
  <c r="AP21" i="18"/>
  <c r="AO21" i="18"/>
  <c r="AN21" i="18"/>
  <c r="AM21" i="18"/>
  <c r="AL21" i="18"/>
  <c r="AK21" i="18"/>
  <c r="Z21" i="18"/>
  <c r="C20" i="18" s="1"/>
  <c r="Z38" i="18" s="1"/>
  <c r="F21" i="18" s="1"/>
  <c r="BB20" i="18"/>
  <c r="BA20" i="18"/>
  <c r="AZ20" i="18"/>
  <c r="AY20" i="18"/>
  <c r="AX20" i="18"/>
  <c r="AW20" i="18"/>
  <c r="AV20" i="18"/>
  <c r="AU20" i="18"/>
  <c r="AT20" i="18"/>
  <c r="AS20" i="18"/>
  <c r="AR20" i="18"/>
  <c r="AQ20" i="18"/>
  <c r="AP20" i="18"/>
  <c r="AO20" i="18"/>
  <c r="AN20" i="18"/>
  <c r="AM20" i="18"/>
  <c r="AL20" i="18"/>
  <c r="AK20" i="18"/>
  <c r="BD19" i="18"/>
  <c r="BC19" i="18"/>
  <c r="BB19" i="18"/>
  <c r="BA19" i="18"/>
  <c r="AZ19" i="18"/>
  <c r="AY19" i="18"/>
  <c r="AX19" i="18"/>
  <c r="AW19" i="18"/>
  <c r="AV19" i="18"/>
  <c r="AU19" i="18"/>
  <c r="AT19" i="18"/>
  <c r="AS19" i="18"/>
  <c r="AR19" i="18"/>
  <c r="AQ19" i="18"/>
  <c r="AP19" i="18"/>
  <c r="AO19" i="18"/>
  <c r="AN19" i="18"/>
  <c r="AM19" i="18"/>
  <c r="AL19" i="18"/>
  <c r="AK19" i="18"/>
  <c r="S19" i="18"/>
  <c r="S26" i="18"/>
  <c r="BD18" i="18"/>
  <c r="BC18" i="18"/>
  <c r="BB18" i="18"/>
  <c r="BA18" i="18"/>
  <c r="AZ18" i="18"/>
  <c r="AY18" i="18"/>
  <c r="AX18" i="18"/>
  <c r="AW18" i="18"/>
  <c r="AV18" i="18"/>
  <c r="AU18" i="18"/>
  <c r="AT18" i="18"/>
  <c r="AS18" i="18"/>
  <c r="AR18" i="18"/>
  <c r="AQ18" i="18"/>
  <c r="AP18" i="18"/>
  <c r="AO18" i="18"/>
  <c r="AN18" i="18"/>
  <c r="AM18" i="18"/>
  <c r="AL18" i="18"/>
  <c r="AK18" i="18"/>
  <c r="W18" i="18"/>
  <c r="Q18" i="18"/>
  <c r="P18" i="18"/>
  <c r="BD17" i="18"/>
  <c r="BC17" i="18"/>
  <c r="BB17" i="18"/>
  <c r="BA17" i="18"/>
  <c r="AZ17" i="18"/>
  <c r="AY17" i="18"/>
  <c r="AX17" i="18"/>
  <c r="AW17" i="18"/>
  <c r="AV17" i="18"/>
  <c r="AU17" i="18"/>
  <c r="AT17" i="18"/>
  <c r="AS17" i="18"/>
  <c r="AR17" i="18"/>
  <c r="AQ17" i="18"/>
  <c r="AP17" i="18"/>
  <c r="AO17" i="18"/>
  <c r="AN17" i="18"/>
  <c r="AM17" i="18"/>
  <c r="AL17" i="18"/>
  <c r="AK17" i="18"/>
  <c r="G17" i="18"/>
  <c r="BD16" i="18"/>
  <c r="BC16" i="18"/>
  <c r="BB16" i="18"/>
  <c r="BA16" i="18"/>
  <c r="AZ16" i="18"/>
  <c r="AY16" i="18"/>
  <c r="AX16" i="18"/>
  <c r="AW16" i="18"/>
  <c r="AV16" i="18"/>
  <c r="AU16" i="18"/>
  <c r="AT16" i="18"/>
  <c r="AS16" i="18"/>
  <c r="AR16" i="18"/>
  <c r="AQ16" i="18"/>
  <c r="AP16" i="18"/>
  <c r="AO16" i="18"/>
  <c r="AN16" i="18"/>
  <c r="AM16" i="18"/>
  <c r="AL16" i="18"/>
  <c r="AK16" i="18"/>
  <c r="BF15" i="18"/>
  <c r="BE15" i="18"/>
  <c r="BD15" i="18"/>
  <c r="BC15" i="18"/>
  <c r="BB15" i="18"/>
  <c r="BA15" i="18"/>
  <c r="AZ15" i="18"/>
  <c r="AY15" i="18"/>
  <c r="AX15" i="18"/>
  <c r="AW15" i="18"/>
  <c r="AV15" i="18"/>
  <c r="AU15" i="18"/>
  <c r="AT15" i="18"/>
  <c r="AS15" i="18"/>
  <c r="AR15" i="18"/>
  <c r="AQ15" i="18"/>
  <c r="AP15" i="18"/>
  <c r="AO15" i="18"/>
  <c r="AN15" i="18"/>
  <c r="AM15" i="18"/>
  <c r="AL15" i="18"/>
  <c r="AK15" i="18"/>
  <c r="G15" i="18"/>
  <c r="BF14" i="18"/>
  <c r="BE14" i="18"/>
  <c r="BD14" i="18"/>
  <c r="BC14" i="18"/>
  <c r="BB14" i="18"/>
  <c r="BA14" i="18"/>
  <c r="AZ14" i="18"/>
  <c r="AY14" i="18"/>
  <c r="AX14" i="18"/>
  <c r="AW14" i="18"/>
  <c r="AV14" i="18"/>
  <c r="AU14" i="18"/>
  <c r="AT14" i="18"/>
  <c r="AS14" i="18"/>
  <c r="AR14" i="18"/>
  <c r="AQ14" i="18"/>
  <c r="AP14" i="18"/>
  <c r="AO14" i="18"/>
  <c r="AN14" i="18"/>
  <c r="AM14" i="18"/>
  <c r="AL14" i="18"/>
  <c r="AK14" i="18"/>
  <c r="BF13" i="18"/>
  <c r="BE13" i="18"/>
  <c r="BD13" i="18"/>
  <c r="BC13" i="18"/>
  <c r="BB13" i="18"/>
  <c r="BA13" i="18"/>
  <c r="AZ13" i="18"/>
  <c r="AY13" i="18"/>
  <c r="AX13" i="18"/>
  <c r="AW13" i="18"/>
  <c r="AV13" i="18"/>
  <c r="AU13" i="18"/>
  <c r="AT13" i="18"/>
  <c r="AS13" i="18"/>
  <c r="AR13" i="18"/>
  <c r="AQ13" i="18"/>
  <c r="AP13" i="18"/>
  <c r="AO13" i="18"/>
  <c r="AN13" i="18"/>
  <c r="AM13" i="18"/>
  <c r="AL13" i="18"/>
  <c r="AK13" i="18"/>
  <c r="BF12" i="18"/>
  <c r="BE12" i="18"/>
  <c r="BD12" i="18"/>
  <c r="BC12" i="18"/>
  <c r="BB12" i="18"/>
  <c r="BA12" i="18"/>
  <c r="AZ12" i="18"/>
  <c r="AY12" i="18"/>
  <c r="AX12" i="18"/>
  <c r="AW12" i="18"/>
  <c r="AV12" i="18"/>
  <c r="AU12" i="18"/>
  <c r="AT12" i="18"/>
  <c r="AS12" i="18"/>
  <c r="AR12" i="18"/>
  <c r="AQ12" i="18"/>
  <c r="AP12" i="18"/>
  <c r="AO12" i="18"/>
  <c r="AN12" i="18"/>
  <c r="AM12" i="18"/>
  <c r="AL12" i="18"/>
  <c r="AK12" i="18"/>
  <c r="BH11" i="18"/>
  <c r="BG11" i="18"/>
  <c r="BF11" i="18"/>
  <c r="BE11" i="18"/>
  <c r="BD11" i="18"/>
  <c r="BC11" i="18"/>
  <c r="BB11" i="18"/>
  <c r="BA11" i="18"/>
  <c r="AZ11" i="18"/>
  <c r="AY11" i="18"/>
  <c r="AX11" i="18"/>
  <c r="AW11" i="18"/>
  <c r="AV11" i="18"/>
  <c r="AU11" i="18"/>
  <c r="AT11" i="18"/>
  <c r="AS11" i="18"/>
  <c r="AR11" i="18"/>
  <c r="AQ11" i="18"/>
  <c r="AP11" i="18"/>
  <c r="AO11" i="18"/>
  <c r="AN11" i="18"/>
  <c r="AM11" i="18"/>
  <c r="AL11" i="18"/>
  <c r="AK11" i="18"/>
  <c r="BH10" i="18"/>
  <c r="BG10" i="18"/>
  <c r="BF10" i="18"/>
  <c r="BE10" i="18"/>
  <c r="BD10" i="18"/>
  <c r="BC10" i="18"/>
  <c r="BB10" i="18"/>
  <c r="BA10" i="18"/>
  <c r="AZ10" i="18"/>
  <c r="AY10" i="18"/>
  <c r="AX10" i="18"/>
  <c r="AW10" i="18"/>
  <c r="AV10" i="18"/>
  <c r="AU10" i="18"/>
  <c r="AT10" i="18"/>
  <c r="AS10" i="18"/>
  <c r="AR10" i="18"/>
  <c r="AQ10" i="18"/>
  <c r="AP10" i="18"/>
  <c r="AO10" i="18"/>
  <c r="AN10" i="18"/>
  <c r="AM10" i="18"/>
  <c r="AL10" i="18"/>
  <c r="AK10" i="18"/>
  <c r="G10" i="18"/>
  <c r="BH9" i="18"/>
  <c r="BG9" i="18"/>
  <c r="BF9" i="18"/>
  <c r="BE9" i="18"/>
  <c r="BD9" i="18"/>
  <c r="BC9" i="18"/>
  <c r="BB9" i="18"/>
  <c r="BA9" i="18"/>
  <c r="AZ9" i="18"/>
  <c r="AY9" i="18"/>
  <c r="AX9" i="18"/>
  <c r="AW9" i="18"/>
  <c r="AV9" i="18"/>
  <c r="AU9" i="18"/>
  <c r="AT9" i="18"/>
  <c r="AS9" i="18"/>
  <c r="AR9" i="18"/>
  <c r="AQ9" i="18"/>
  <c r="AP9" i="18"/>
  <c r="AO9" i="18"/>
  <c r="AN9" i="18"/>
  <c r="AM9" i="18"/>
  <c r="AL9" i="18"/>
  <c r="AK9" i="18"/>
  <c r="G9" i="18"/>
  <c r="BH8" i="18"/>
  <c r="BG8" i="18"/>
  <c r="BF8" i="18"/>
  <c r="BE8" i="18"/>
  <c r="BD8" i="18"/>
  <c r="BC8" i="18"/>
  <c r="BB8" i="18"/>
  <c r="BA8" i="18"/>
  <c r="AZ8" i="18"/>
  <c r="AY8" i="18"/>
  <c r="AX8" i="18"/>
  <c r="AW8" i="18"/>
  <c r="AV8" i="18"/>
  <c r="AU8" i="18"/>
  <c r="AT8" i="18"/>
  <c r="AS8" i="18"/>
  <c r="AR8" i="18"/>
  <c r="AQ8" i="18"/>
  <c r="AP8" i="18"/>
  <c r="AO8" i="18"/>
  <c r="AN8" i="18"/>
  <c r="AM8" i="18"/>
  <c r="AL8" i="18"/>
  <c r="AK8" i="18"/>
  <c r="G8" i="18"/>
  <c r="AH5" i="18"/>
  <c r="AF5" i="18"/>
  <c r="Z4" i="18"/>
  <c r="AA4" i="18" s="1"/>
  <c r="T28" i="18" s="1"/>
  <c r="BF6" i="18" l="1" a="1"/>
  <c r="BF6" i="18" s="1"/>
  <c r="T27" i="18"/>
  <c r="Q19" i="18"/>
  <c r="Q27" i="18"/>
  <c r="T19" i="18"/>
  <c r="P19" i="18"/>
  <c r="S23" i="18"/>
  <c r="T22" i="18" s="1"/>
  <c r="C23" i="18"/>
  <c r="C24" i="18" s="1"/>
  <c r="S18" i="18"/>
  <c r="AI6" i="18" a="1"/>
  <c r="AI6" i="18" s="1"/>
  <c r="AM6" i="18" a="1"/>
  <c r="AM6" i="18" s="1"/>
  <c r="AQ6" i="18" a="1"/>
  <c r="AQ6" i="18" s="1"/>
  <c r="AU6" i="18" a="1"/>
  <c r="AU6" i="18" s="1"/>
  <c r="AY6" i="18" a="1"/>
  <c r="AY6" i="18" s="1"/>
  <c r="BC6" i="18" a="1"/>
  <c r="BC6" i="18" s="1"/>
  <c r="BG6" i="18" a="1"/>
  <c r="BG6" i="18" s="1"/>
  <c r="R26" i="18"/>
  <c r="AJ6" i="18" a="1"/>
  <c r="AJ6" i="18" s="1"/>
  <c r="AN6" i="18" a="1"/>
  <c r="AN6" i="18" s="1"/>
  <c r="AR6" i="18" a="1"/>
  <c r="AR6" i="18" s="1"/>
  <c r="AV6" i="18" a="1"/>
  <c r="AV6" i="18" s="1"/>
  <c r="AZ6" i="18" a="1"/>
  <c r="AZ6" i="18" s="1"/>
  <c r="BD6" i="18" a="1"/>
  <c r="BD6" i="18" s="1"/>
  <c r="BH6" i="18" a="1"/>
  <c r="BH6" i="18" s="1"/>
  <c r="AK6" i="18" a="1"/>
  <c r="AK6" i="18" s="1"/>
  <c r="AO6" i="18" a="1"/>
  <c r="AO6" i="18" s="1"/>
  <c r="AS6" i="18" a="1"/>
  <c r="AS6" i="18" s="1"/>
  <c r="AW6" i="18" a="1"/>
  <c r="AW6" i="18" s="1"/>
  <c r="BA6" i="18" a="1"/>
  <c r="BA6" i="18" s="1"/>
  <c r="BE6" i="18" a="1"/>
  <c r="BE6" i="18" s="1"/>
  <c r="AL6" i="18" a="1"/>
  <c r="AL6" i="18" s="1"/>
  <c r="AP6" i="18" a="1"/>
  <c r="AP6" i="18" s="1"/>
  <c r="AT6" i="18" a="1"/>
  <c r="AT6" i="18" s="1"/>
  <c r="AX6" i="18" a="1"/>
  <c r="AX6" i="18" s="1"/>
  <c r="BB6" i="18" a="1"/>
  <c r="BB6" i="18" s="1"/>
  <c r="AJ5" i="18" l="1"/>
  <c r="E22" i="18" s="1"/>
  <c r="AI5" i="18"/>
  <c r="F8" i="18" s="1"/>
  <c r="F31" i="18"/>
  <c r="C31" i="18"/>
  <c r="F24" i="18"/>
  <c r="U28" i="18"/>
  <c r="V26" i="18"/>
  <c r="C25" i="18"/>
  <c r="R18" i="18"/>
  <c r="C22" i="18" l="1"/>
  <c r="U18" i="18" s="1"/>
  <c r="F15" i="18"/>
  <c r="V28" i="18"/>
  <c r="R19" i="18"/>
  <c r="F16" i="18"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Administrator</author>
    <author>Charles Schumann</author>
  </authors>
  <commentList>
    <comment ref="J4" authorId="0" shapeId="0" xr:uid="{00000000-0006-0000-0000-000001000000}">
      <text>
        <r>
          <rPr>
            <b/>
            <sz val="9"/>
            <color indexed="81"/>
            <rFont val="Tahoma"/>
            <family val="2"/>
          </rPr>
          <t>Administrator:</t>
        </r>
        <r>
          <rPr>
            <sz val="9"/>
            <color indexed="81"/>
            <rFont val="Tahoma"/>
            <family val="2"/>
          </rPr>
          <t xml:space="preserve">
These are the Data Validation Variables for the pull-down selections in the spreadsheet</t>
        </r>
      </text>
    </comment>
    <comment ref="N4" authorId="0" shapeId="0" xr:uid="{00000000-0006-0000-0000-000002000000}">
      <text>
        <r>
          <rPr>
            <b/>
            <sz val="9"/>
            <color indexed="81"/>
            <rFont val="Tahoma"/>
            <family val="2"/>
          </rPr>
          <t>Administrator:</t>
        </r>
        <r>
          <rPr>
            <sz val="9"/>
            <color indexed="81"/>
            <rFont val="Tahoma"/>
            <family val="2"/>
          </rPr>
          <t xml:space="preserve">
This cell contains the sketch used when "Adjacent" is selected in cell C9 and "Parallel" is selected in cell C12 and will be displayed in the spreadsheet using an Indirect formula and a cell name.</t>
        </r>
      </text>
    </comment>
    <comment ref="Z4" authorId="0" shapeId="0" xr:uid="{00000000-0006-0000-0000-000003000000}">
      <text>
        <r>
          <rPr>
            <b/>
            <sz val="9"/>
            <color indexed="81"/>
            <rFont val="Tahoma"/>
            <family val="2"/>
          </rPr>
          <t>Administrator:</t>
        </r>
        <r>
          <rPr>
            <sz val="9"/>
            <color indexed="81"/>
            <rFont val="Tahoma"/>
            <family val="2"/>
          </rPr>
          <t xml:space="preserve">
This cell picks the appropriate ADT range as shown on Table 5-10(b)  based on the ADT value  Entered in cell C8</t>
        </r>
      </text>
    </comment>
    <comment ref="AA4" authorId="0" shapeId="0" xr:uid="{00000000-0006-0000-0000-000004000000}">
      <text>
        <r>
          <rPr>
            <b/>
            <sz val="9"/>
            <color indexed="81"/>
            <rFont val="Tahoma"/>
            <family val="2"/>
          </rPr>
          <t>Administrator:</t>
        </r>
        <r>
          <rPr>
            <sz val="9"/>
            <color indexed="81"/>
            <rFont val="Tahoma"/>
            <family val="2"/>
          </rPr>
          <t xml:space="preserve">
This cell looks up the appropriate Runout length based on the speed selected in cell C7 and the ADT range populated in cell X2 (which is derived from the value entered in cell C8</t>
        </r>
      </text>
    </comment>
    <comment ref="AF5" authorId="0" shapeId="0" xr:uid="{00000000-0006-0000-0000-000005000000}">
      <text>
        <r>
          <rPr>
            <b/>
            <sz val="9"/>
            <color indexed="81"/>
            <rFont val="Tahoma"/>
            <family val="2"/>
          </rPr>
          <t>Administrator:</t>
        </r>
        <r>
          <rPr>
            <sz val="9"/>
            <color indexed="81"/>
            <rFont val="Tahoma"/>
            <family val="2"/>
          </rPr>
          <t xml:space="preserve">
This cell is an IF/AND formula that picks the correct speed label as shown in Table 3-2, based on the Speed Selected in cell C7</t>
        </r>
      </text>
    </comment>
    <comment ref="AG5" authorId="0" shapeId="0" xr:uid="{00000000-0006-0000-0000-000006000000}">
      <text>
        <r>
          <rPr>
            <b/>
            <sz val="9"/>
            <color indexed="81"/>
            <rFont val="Tahoma"/>
            <family val="2"/>
          </rPr>
          <t>Administrator:</t>
        </r>
        <r>
          <rPr>
            <sz val="9"/>
            <color indexed="81"/>
            <rFont val="Tahoma"/>
            <family val="2"/>
          </rPr>
          <t xml:space="preserve">
This cell is an IF/AND formula that picks the appropriate ADT range as shown on Table 3-2 based on the ADT Entered in cell C8</t>
        </r>
      </text>
    </comment>
    <comment ref="AH5" authorId="0" shapeId="0" xr:uid="{00000000-0006-0000-0000-000007000000}">
      <text>
        <r>
          <rPr>
            <b/>
            <sz val="9"/>
            <color indexed="81"/>
            <rFont val="Tahoma"/>
            <family val="2"/>
          </rPr>
          <t>Administrator:</t>
        </r>
        <r>
          <rPr>
            <sz val="9"/>
            <color indexed="81"/>
            <rFont val="Tahoma"/>
            <family val="2"/>
          </rPr>
          <t xml:space="preserve">
This is the Slope value selected in cell C9</t>
        </r>
      </text>
    </comment>
    <comment ref="AF6" authorId="1" shapeId="0" xr:uid="{00000000-0006-0000-0000-000008000000}">
      <text>
        <r>
          <rPr>
            <b/>
            <sz val="9"/>
            <color indexed="81"/>
            <rFont val="Tahoma"/>
            <family val="2"/>
          </rPr>
          <t>Administrator:</t>
        </r>
        <r>
          <rPr>
            <sz val="9"/>
            <color indexed="81"/>
            <rFont val="Tahoma"/>
            <family val="2"/>
          </rPr>
          <t xml:space="preserve">
The cells to the right, are vlookup and chooser, array formulas to find the appropriate curve correction clear zone value from this table, for each radius, based on Speed, ADT, &amp; Slope values input by the user. (This formula must be entered with Ctrl+Shift+Enter)</t>
        </r>
      </text>
    </comment>
    <comment ref="C8" authorId="0" shapeId="0" xr:uid="{00000000-0006-0000-0000-000009000000}">
      <text>
        <r>
          <rPr>
            <b/>
            <sz val="9"/>
            <color indexed="81"/>
            <rFont val="Tahoma"/>
            <family val="2"/>
          </rPr>
          <t>Normal Posted Speed</t>
        </r>
      </text>
    </comment>
    <comment ref="C9" authorId="0" shapeId="0" xr:uid="{00000000-0006-0000-0000-00000A000000}">
      <text>
        <r>
          <rPr>
            <b/>
            <sz val="9"/>
            <color indexed="81"/>
            <rFont val="Tahoma"/>
            <family val="2"/>
          </rPr>
          <t>Design Traffic Data</t>
        </r>
      </text>
    </comment>
    <comment ref="C10" authorId="0" shapeId="0" xr:uid="{00000000-0006-0000-0000-00000B000000}">
      <text>
        <r>
          <rPr>
            <b/>
            <sz val="9"/>
            <color indexed="81"/>
            <rFont val="Tahoma"/>
            <family val="2"/>
          </rPr>
          <t>From proposed design or from existing plans.</t>
        </r>
      </text>
    </comment>
    <comment ref="C11" authorId="0" shapeId="0" xr:uid="{00000000-0006-0000-0000-00000C000000}">
      <text>
        <r>
          <rPr>
            <b/>
            <sz val="9"/>
            <color indexed="81"/>
            <rFont val="Tahoma"/>
            <family val="2"/>
          </rPr>
          <t>Two Lane
Adjacent (Right) and Opposing (Left)
Four Lane
Adjacent (Right and Left)</t>
        </r>
      </text>
    </comment>
    <comment ref="C12" authorId="0" shapeId="0" xr:uid="{00000000-0006-0000-0000-00000D000000}">
      <text>
        <r>
          <rPr>
            <b/>
            <sz val="9"/>
            <color indexed="81"/>
            <rFont val="Tahoma"/>
            <family val="2"/>
          </rPr>
          <t>Selecting Yes, applies a Bridge Approach Transition Section
Selecting No, applies an End Anchor
This affects the required amount of guardrail in the guardrail Items below.</t>
        </r>
      </text>
    </comment>
    <comment ref="D12" authorId="1" shapeId="0" xr:uid="{00000000-0006-0000-0000-00000E000000}">
      <text>
        <r>
          <rPr>
            <b/>
            <sz val="9"/>
            <color indexed="81"/>
            <rFont val="Tahoma"/>
            <charset val="1"/>
          </rPr>
          <t>Select Safety Barrier-Reg./No Curb or Thrie Beam Rail or Safety Barrier-Extended Curb.
Selecting: Safety Barrier-Extended Curb will display a reminder to review Std. Plan 606.60B and will add 12.5' of guardrail for the required tangential section, if needed.</t>
        </r>
      </text>
    </comment>
    <comment ref="C13" authorId="0" shapeId="0" xr:uid="{00000000-0006-0000-0000-00000F000000}">
      <text>
        <r>
          <rPr>
            <b/>
            <sz val="9"/>
            <color indexed="81"/>
            <rFont val="Tahoma"/>
            <family val="2"/>
          </rPr>
          <t>Select MASH or NCHRP 350</t>
        </r>
      </text>
    </comment>
    <comment ref="N13" authorId="0" shapeId="0" xr:uid="{00000000-0006-0000-0000-000010000000}">
      <text>
        <r>
          <rPr>
            <b/>
            <sz val="9"/>
            <color indexed="81"/>
            <rFont val="Tahoma"/>
            <family val="2"/>
          </rPr>
          <t>Administrator:</t>
        </r>
        <r>
          <rPr>
            <sz val="9"/>
            <color indexed="81"/>
            <rFont val="Tahoma"/>
            <family val="2"/>
          </rPr>
          <t xml:space="preserve">
This cell contains the sketch used when "Opposing" is selected in cell C9 and "Parallel" is selected in cell C12 and will be displayed in the spreadsheet using an Indirect formula and a cell name.</t>
        </r>
      </text>
    </comment>
    <comment ref="C14" authorId="0" shapeId="0" xr:uid="{00000000-0006-0000-0000-000011000000}">
      <text>
        <r>
          <rPr>
            <b/>
            <sz val="9"/>
            <color indexed="81"/>
            <rFont val="Tahoma"/>
            <family val="2"/>
          </rPr>
          <t>Changing this cell, populates L1, Ls, Flare Rate, and Y below.</t>
        </r>
      </text>
    </comment>
    <comment ref="C15" authorId="0" shapeId="0" xr:uid="{00000000-0006-0000-0000-000012000000}">
      <text>
        <r>
          <rPr>
            <b/>
            <sz val="9"/>
            <color indexed="81"/>
            <rFont val="Tahoma"/>
            <family val="2"/>
          </rPr>
          <t>Select radius closest to your curve.  Select the larger radius if half way between.</t>
        </r>
      </text>
    </comment>
    <comment ref="C16" authorId="0" shapeId="0" xr:uid="{00000000-0006-0000-0000-000013000000}">
      <text>
        <r>
          <rPr>
            <b/>
            <sz val="9"/>
            <color indexed="81"/>
            <rFont val="Tahoma"/>
            <family val="2"/>
          </rPr>
          <t>Most of the time, consider the Maximum Value for the recommended Clear Zone Distance from Table 3-1.  Modot normally protects to the max. clear zone or a 30' practical minimum depending on variables.  There may be other engineering factors for the design team to consider.</t>
        </r>
      </text>
    </comment>
    <comment ref="C17" authorId="0" shapeId="0" xr:uid="{00000000-0006-0000-0000-000014000000}">
      <text>
        <r>
          <rPr>
            <b/>
            <sz val="9"/>
            <color indexed="81"/>
            <rFont val="Tahoma"/>
            <family val="2"/>
          </rPr>
          <t>Must be LESS than the Lateral Extent(La) to get a Length of Need
Two-Lane Undivided
For Adjacent direction, enter the right shoulder width.
For Opposing direction, enter the left lane and shoulder width combined.
Divided
enter the right shoulder width for the driving lane
enter the left shoulder width for the inside passing lane</t>
        </r>
      </text>
    </comment>
    <comment ref="P17" authorId="0" shapeId="0" xr:uid="{00000000-0006-0000-0000-000015000000}">
      <text>
        <r>
          <rPr>
            <b/>
            <sz val="9"/>
            <color indexed="81"/>
            <rFont val="Tahoma"/>
            <family val="2"/>
          </rPr>
          <t>Administrator:</t>
        </r>
        <r>
          <rPr>
            <sz val="9"/>
            <color indexed="81"/>
            <rFont val="Tahoma"/>
            <family val="2"/>
          </rPr>
          <t xml:space="preserve">
The cells below are populated by the values in other cells and are selected using the camera tool to display a convenient summary below the sketch in the spreadsheet.</t>
        </r>
      </text>
    </comment>
    <comment ref="C19" authorId="0" shapeId="0" xr:uid="{00000000-0006-0000-0000-000016000000}">
      <text>
        <r>
          <rPr>
            <b/>
            <sz val="9"/>
            <color indexed="81"/>
            <rFont val="Tahoma"/>
            <family val="2"/>
          </rPr>
          <t>Tangent before flare can begin.  If a longer tangent is needed, do manual calculations.</t>
        </r>
      </text>
    </comment>
    <comment ref="C20" authorId="0" shapeId="0" xr:uid="{00000000-0006-0000-0000-000017000000}">
      <text>
        <r>
          <rPr>
            <b/>
            <sz val="9"/>
            <color indexed="81"/>
            <rFont val="Tahoma"/>
            <family val="2"/>
          </rPr>
          <t>AASHTO Table 5-7</t>
        </r>
      </text>
    </comment>
    <comment ref="C21" authorId="0" shapeId="0" xr:uid="{00000000-0006-0000-0000-000018000000}">
      <text>
        <r>
          <rPr>
            <b/>
            <sz val="9"/>
            <color indexed="81"/>
            <rFont val="Tahoma"/>
            <family val="2"/>
          </rPr>
          <t>NCHRP 350 AASHTO RDG Table 5-9
or
MASH 25:1 Maximum Flare</t>
        </r>
      </text>
    </comment>
    <comment ref="Z21" authorId="0" shapeId="0" xr:uid="{00000000-0006-0000-0000-000019000000}">
      <text>
        <r>
          <rPr>
            <b/>
            <sz val="9"/>
            <color indexed="81"/>
            <rFont val="Tahoma"/>
            <family val="2"/>
          </rPr>
          <t>Administrator:</t>
        </r>
        <r>
          <rPr>
            <sz val="9"/>
            <color indexed="81"/>
            <rFont val="Tahoma"/>
            <family val="2"/>
          </rPr>
          <t xml:space="preserve">
This cell is a LOOKUP formula that finds the correct shy line offset based on the speed entered in cell C6.
</t>
        </r>
      </text>
    </comment>
    <comment ref="E22" authorId="0" shapeId="0" xr:uid="{00000000-0006-0000-0000-00001A000000}">
      <text>
        <r>
          <rPr>
            <b/>
            <sz val="9"/>
            <color indexed="81"/>
            <rFont val="Tahoma"/>
            <family val="2"/>
          </rPr>
          <t>This is the clear zone range from Table 3-1 as guidance to determine La distance.  If a curve radius is selected, a curve correction factor has been applied from AASHTO Table 3-2
For further guidance on Clear Zones, click on the link below.</t>
        </r>
      </text>
    </comment>
    <comment ref="C23" authorId="0" shapeId="0" xr:uid="{00000000-0006-0000-0000-00001B000000}">
      <text>
        <r>
          <rPr>
            <b/>
            <sz val="9"/>
            <color indexed="81"/>
            <rFont val="Tahoma"/>
            <family val="2"/>
          </rPr>
          <t>AASHTO Table 5-10b</t>
        </r>
      </text>
    </comment>
    <comment ref="N23" authorId="0" shapeId="0" xr:uid="{00000000-0006-0000-0000-00001C000000}">
      <text>
        <r>
          <rPr>
            <b/>
            <sz val="9"/>
            <color indexed="81"/>
            <rFont val="Tahoma"/>
            <family val="2"/>
          </rPr>
          <t>Administrator:</t>
        </r>
        <r>
          <rPr>
            <sz val="9"/>
            <color indexed="81"/>
            <rFont val="Tahoma"/>
            <family val="2"/>
          </rPr>
          <t xml:space="preserve">
This cell is the IF/AND formula that determines which sketch is displayed, based on the values selected in cells C9 and C12.</t>
        </r>
      </text>
    </comment>
    <comment ref="C24" authorId="0" shapeId="0" xr:uid="{00000000-0006-0000-0000-00001D000000}">
      <text>
        <r>
          <rPr>
            <b/>
            <sz val="9"/>
            <color indexed="81"/>
            <rFont val="Tahoma"/>
            <family val="2"/>
          </rPr>
          <t>Parallel - X = (La-L2)/(La / Lr)
Flared - X = (La +(b / a) x L1 - L2) / ( (b / a) + (La  /  Lr))</t>
        </r>
      </text>
    </comment>
    <comment ref="C25" authorId="0" shapeId="0" xr:uid="{00000000-0006-0000-0000-00001E000000}">
      <text>
        <r>
          <rPr>
            <b/>
            <sz val="9"/>
            <color indexed="81"/>
            <rFont val="Tahoma"/>
            <family val="2"/>
          </rPr>
          <t>Flared - Y = La - Xx (La / Lr)</t>
        </r>
      </text>
    </comment>
    <comment ref="C27" authorId="0" shapeId="0" xr:uid="{00000000-0006-0000-0000-00001F000000}">
      <text>
        <r>
          <rPr>
            <sz val="9"/>
            <color indexed="81"/>
            <rFont val="Tahoma"/>
            <family val="2"/>
          </rPr>
          <t xml:space="preserve">
</t>
        </r>
        <r>
          <rPr>
            <b/>
            <sz val="9"/>
            <color indexed="81"/>
            <rFont val="Tahoma"/>
            <family val="2"/>
          </rPr>
          <t>Length Included in Length of Need</t>
        </r>
      </text>
    </comment>
    <comment ref="C28" authorId="0" shapeId="0" xr:uid="{00000000-0006-0000-0000-000020000000}">
      <text>
        <r>
          <rPr>
            <sz val="9"/>
            <color indexed="81"/>
            <rFont val="Tahoma"/>
            <family val="2"/>
          </rPr>
          <t xml:space="preserve">
</t>
        </r>
        <r>
          <rPr>
            <b/>
            <sz val="9"/>
            <color indexed="81"/>
            <rFont val="Tahoma"/>
            <family val="2"/>
          </rPr>
          <t>Length from Modot Standard Plans if applicable.  Not Included in Length of Need</t>
        </r>
      </text>
    </comment>
    <comment ref="C29" authorId="0" shapeId="0" xr:uid="{00000000-0006-0000-0000-000021000000}">
      <text>
        <r>
          <rPr>
            <b/>
            <sz val="9"/>
            <color indexed="81"/>
            <rFont val="Tahoma"/>
            <family val="2"/>
          </rPr>
          <t xml:space="preserve">
Approximate Length Included in Length of Need</t>
        </r>
      </text>
    </comment>
    <comment ref="C30" authorId="0" shapeId="0" xr:uid="{00000000-0006-0000-0000-000022000000}">
      <text>
        <r>
          <rPr>
            <sz val="9"/>
            <color indexed="81"/>
            <rFont val="Tahoma"/>
            <family val="2"/>
          </rPr>
          <t xml:space="preserve">
</t>
        </r>
        <r>
          <rPr>
            <b/>
            <sz val="9"/>
            <color indexed="81"/>
            <rFont val="Tahoma"/>
            <family val="2"/>
          </rPr>
          <t>Approximate Length NOT included in Length of Need</t>
        </r>
      </text>
    </comment>
    <comment ref="C31" authorId="0" shapeId="0" xr:uid="{00000000-0006-0000-0000-000023000000}">
      <text>
        <r>
          <rPr>
            <b/>
            <sz val="10"/>
            <color indexed="10"/>
            <rFont val="Tahoma"/>
            <family val="2"/>
          </rPr>
          <t>This is the quantity of guardrail needed rounded to the next 12.5' length based on the variables selected.
NOTE:  If Safety Barrier-Extended Curb is selected, and no additional guardrail is needed for Length of Need, then 12.5’ of guardrail is included for the required tangential section.</t>
        </r>
      </text>
    </comment>
    <comment ref="N55" authorId="1" shapeId="0" xr:uid="{00000000-0006-0000-0000-000024000000}">
      <text>
        <r>
          <rPr>
            <b/>
            <sz val="9"/>
            <color indexed="81"/>
            <rFont val="Tahoma"/>
            <family val="2"/>
          </rPr>
          <t>This cell contains the sketch used when "Adjacent" is selected in cell C9 and "Flared-Rigid" is selected in cell C12 and will be displayed in the spreadsheet using an Indirect formula and a cell name.</t>
        </r>
        <r>
          <rPr>
            <sz val="9"/>
            <color indexed="81"/>
            <rFont val="Tahoma"/>
            <family val="2"/>
          </rPr>
          <t xml:space="preserve">
</t>
        </r>
      </text>
    </comment>
    <comment ref="N65" authorId="1" shapeId="0" xr:uid="{00000000-0006-0000-0000-000025000000}">
      <text>
        <r>
          <rPr>
            <b/>
            <sz val="9"/>
            <color indexed="81"/>
            <rFont val="Tahoma"/>
            <family val="2"/>
          </rPr>
          <t>This cell contains the sketch used when "Adjacent" is selected in cell C9 and "Flared/Semi Rigid" is selected in cell C12 and will be displayed in the spreadsheet using an Indirect formula and a cell name.</t>
        </r>
        <r>
          <rPr>
            <sz val="9"/>
            <color indexed="81"/>
            <rFont val="Tahoma"/>
            <family val="2"/>
          </rPr>
          <t xml:space="preserve">
</t>
        </r>
      </text>
    </comment>
    <comment ref="N75" authorId="1" shapeId="0" xr:uid="{00000000-0006-0000-0000-000026000000}">
      <text>
        <r>
          <rPr>
            <b/>
            <sz val="9"/>
            <color indexed="81"/>
            <rFont val="Tahoma"/>
            <family val="2"/>
          </rPr>
          <t>This cell contains the sketch used when "Opposing" is selected in cell C9 and "Flared-Rigid" is selected in cell C12 and will be displayed in the spreadsheet using an Indirect formula and a cell name.</t>
        </r>
        <r>
          <rPr>
            <sz val="9"/>
            <color indexed="81"/>
            <rFont val="Tahoma"/>
            <family val="2"/>
          </rPr>
          <t xml:space="preserve">
</t>
        </r>
      </text>
    </comment>
    <comment ref="N85" authorId="1" shapeId="0" xr:uid="{00000000-0006-0000-0000-000027000000}">
      <text>
        <r>
          <rPr>
            <b/>
            <sz val="9"/>
            <color indexed="81"/>
            <rFont val="Tahoma"/>
            <family val="2"/>
          </rPr>
          <t>This cell contains the sketch used when "Opposing" is selected in cell C9 and "Flared/Semi Rigid" is selected in cell C12 and will be displayed in the spreadsheet using an Indirect formula and a cell name.</t>
        </r>
        <r>
          <rPr>
            <sz val="9"/>
            <color indexed="81"/>
            <rFont val="Tahoma"/>
            <family val="2"/>
          </rPr>
          <t xml:space="preserve">
</t>
        </r>
      </text>
    </comment>
  </commentList>
</comments>
</file>

<file path=xl/sharedStrings.xml><?xml version="1.0" encoding="utf-8"?>
<sst xmlns="http://schemas.openxmlformats.org/spreadsheetml/2006/main" count="3247" uniqueCount="217">
  <si>
    <t>5000 to 10000</t>
  </si>
  <si>
    <t>ADT</t>
  </si>
  <si>
    <t>Design Speed</t>
  </si>
  <si>
    <t>MPH</t>
  </si>
  <si>
    <t>Runout Length AASHTO Table 5-10(b)</t>
  </si>
  <si>
    <t>1000 to 4999</t>
  </si>
  <si>
    <t>&lt; 1000</t>
  </si>
  <si>
    <t>&gt; 10000</t>
  </si>
  <si>
    <t>YES</t>
  </si>
  <si>
    <t>NO</t>
  </si>
  <si>
    <t>(L2) Lateral Distance (ft)</t>
  </si>
  <si>
    <t>DIRECTION</t>
  </si>
  <si>
    <t>Adjacent</t>
  </si>
  <si>
    <t>Opposing</t>
  </si>
  <si>
    <t>SLOPE TYPE</t>
  </si>
  <si>
    <t>Fill 3:1</t>
  </si>
  <si>
    <t>Fill 4:1 - 5:1</t>
  </si>
  <si>
    <t>Fill 6:1 or flatter</t>
  </si>
  <si>
    <t>Cut 3:1</t>
  </si>
  <si>
    <t>Cut 4:1 - 5:1</t>
  </si>
  <si>
    <t>Cut 6:1 or flatter</t>
  </si>
  <si>
    <t>TRAFFIC SPEED (MPH)</t>
  </si>
  <si>
    <t>OUTPUT DATA:</t>
  </si>
  <si>
    <t>Date:</t>
  </si>
  <si>
    <t>County:</t>
  </si>
  <si>
    <t>Route:</t>
  </si>
  <si>
    <t>Job Number:</t>
  </si>
  <si>
    <t>(Lr) Runout Length (ft)</t>
  </si>
  <si>
    <t>"Adjacent"</t>
  </si>
  <si>
    <t>"Opposing"</t>
  </si>
  <si>
    <t xml:space="preserve"> (La) Lateral Extent (ft)</t>
  </si>
  <si>
    <t>750-1500</t>
  </si>
  <si>
    <t>1500-6000</t>
  </si>
  <si>
    <t>SPEED</t>
  </si>
  <si>
    <t>Slope</t>
  </si>
  <si>
    <t>7-10</t>
  </si>
  <si>
    <t>10-12</t>
  </si>
  <si>
    <t>12-14</t>
  </si>
  <si>
    <t>14-16</t>
  </si>
  <si>
    <t>16-18</t>
  </si>
  <si>
    <t>20-22</t>
  </si>
  <si>
    <t>22-24</t>
  </si>
  <si>
    <t>20-24</t>
  </si>
  <si>
    <t>26-30</t>
  </si>
  <si>
    <t>18-20</t>
  </si>
  <si>
    <t>24-26</t>
  </si>
  <si>
    <t>16-20</t>
  </si>
  <si>
    <t>20-26</t>
  </si>
  <si>
    <t>24-28</t>
  </si>
  <si>
    <t>14-18</t>
  </si>
  <si>
    <t>24-30</t>
  </si>
  <si>
    <t>26-32</t>
  </si>
  <si>
    <t>8-10</t>
  </si>
  <si>
    <t>12-16</t>
  </si>
  <si>
    <t>18-22</t>
  </si>
  <si>
    <t>26-28</t>
  </si>
  <si>
    <t>28-30</t>
  </si>
  <si>
    <t>Data Validation Tables</t>
  </si>
  <si>
    <t>(b)</t>
  </si>
  <si>
    <t>Speed</t>
  </si>
  <si>
    <t>DESIGN ADT</t>
  </si>
  <si>
    <t>DESIGN (ADT)</t>
  </si>
  <si>
    <t>Barrier Type</t>
  </si>
  <si>
    <t>Direction</t>
  </si>
  <si>
    <t>La</t>
  </si>
  <si>
    <t>L2</t>
  </si>
  <si>
    <t>DESIGN SPEED</t>
  </si>
  <si>
    <t>FORESLOPES</t>
  </si>
  <si>
    <t>BACKSLOPES</t>
  </si>
  <si>
    <t>Fill 4:1-5:1</t>
  </si>
  <si>
    <t>Cut 4:1-5:1</t>
  </si>
  <si>
    <t>40 MPH OR LESS</t>
  </si>
  <si>
    <t>b</t>
  </si>
  <si>
    <t>45-50 MPH</t>
  </si>
  <si>
    <t>55 MPH</t>
  </si>
  <si>
    <t>60 MPH</t>
  </si>
  <si>
    <t>26-32a</t>
  </si>
  <si>
    <t>32-40a</t>
  </si>
  <si>
    <t>30-32a</t>
  </si>
  <si>
    <t>36-44a</t>
  </si>
  <si>
    <t>65-70 MPH</t>
  </si>
  <si>
    <t>28-36a</t>
  </si>
  <si>
    <t>28-32a</t>
  </si>
  <si>
    <t>34-42a</t>
  </si>
  <si>
    <t>30-34a</t>
  </si>
  <si>
    <t>38-46a</t>
  </si>
  <si>
    <t>80 MPH</t>
  </si>
  <si>
    <t>(d)</t>
  </si>
  <si>
    <t>OVER 6000</t>
  </si>
  <si>
    <t>UNDER 750 (C)</t>
  </si>
  <si>
    <t>RADIUS</t>
  </si>
  <si>
    <t>HORIZONTAL CURVE RADIUS (ft)</t>
  </si>
  <si>
    <t>NONE</t>
  </si>
  <si>
    <t>Notes:</t>
  </si>
  <si>
    <t>45 MPH</t>
  </si>
  <si>
    <t>50 MPH</t>
  </si>
  <si>
    <t>65 MPH</t>
  </si>
  <si>
    <t>70 MPH</t>
  </si>
  <si>
    <t>Horizontal Curve Radius (ft)=</t>
  </si>
  <si>
    <t>Curve Correction Factor (U.S. CUSTOMARY UNITS)</t>
  </si>
  <si>
    <t>DESIGN SPEED (mph)</t>
  </si>
  <si>
    <t>(ft)</t>
  </si>
  <si>
    <t>Note: Clear-zone correction factor is applied to the outside of curves only.</t>
  </si>
  <si>
    <t>CZc = (Lc) x (Kcz)</t>
  </si>
  <si>
    <t>CZc = clear zone on outside of curvature, (ft)</t>
  </si>
  <si>
    <t>Lc = clear zone distance (ft) (Table 3.1)</t>
  </si>
  <si>
    <t>Kcz = curve correction factor</t>
  </si>
  <si>
    <t>2011 AASHTO RDG Runout Length Table 5-10(b) (U.S. CUSTOMARY UNITS)</t>
  </si>
  <si>
    <t>CLEAR ZONE - 2011 AASHTO TABLE 3.1 (U.S. CUSTOMARY UNITS) Rev. July 2015</t>
  </si>
  <si>
    <t>Horizontal Curve Adjustments - AASHTO TABLE 3.2 (rev. July 2015)</t>
  </si>
  <si>
    <t>Clear Zone</t>
  </si>
  <si>
    <t>Table based on the 2011 AASHTO RDG Tables 3-1 and 3-2 (Revised July 2015)</t>
  </si>
  <si>
    <t>Runout</t>
  </si>
  <si>
    <t>(a) - When a site-specific investigation indicates a high probability of continuing crashes or when such occurrences are indicated by crash history, the designer may provide clear-zone distances greater than the clear zone shown in Table 3-1. Clear zones may be limited to 30 ft for practicality and to provide a consistent roadway template if previous experience with similar projects or designs indicates satisfactory performance.</t>
  </si>
  <si>
    <t>(c) - For roadways with low volumes it may not be practical to apply even the minimum values found in Table 3-1. Refer to Chapter 12 for additional considerations for low-volume roadways and Chapter 10 for additional guidance for urban applications.</t>
  </si>
  <si>
    <t>(d) - When design speeds are greater than the values provided, the designer may provide clear-zone distances greater than those shown in Table 3-1.</t>
  </si>
  <si>
    <t>RAIL TYPE</t>
  </si>
  <si>
    <t>Rail Type</t>
  </si>
  <si>
    <t>PARALLEL</t>
  </si>
  <si>
    <t>(L1) Tangent Length (ft)</t>
  </si>
  <si>
    <t>(Ls) Shy Line Offset (ft)</t>
  </si>
  <si>
    <t>Rigid</t>
  </si>
  <si>
    <t>Type</t>
  </si>
  <si>
    <t>FLARED / RIGID</t>
  </si>
  <si>
    <t>FLARED / SEMI RIGID</t>
  </si>
  <si>
    <t>APPROACH BARRIER TYPE</t>
  </si>
  <si>
    <t>SHY - LINE OFFSET (Ls)</t>
  </si>
  <si>
    <t>Ls</t>
  </si>
  <si>
    <t>FLARE RATE FOR</t>
  </si>
  <si>
    <t>BARRIER BEYOND Ls</t>
  </si>
  <si>
    <t>BARRIER AT Ls</t>
  </si>
  <si>
    <t>BARRIER INSIDE Ls</t>
  </si>
  <si>
    <t>(a:b)</t>
  </si>
  <si>
    <t>rigid</t>
  </si>
  <si>
    <t>semi rigid</t>
  </si>
  <si>
    <t>Select Slope</t>
  </si>
  <si>
    <t>Flare Rate (a:b)</t>
  </si>
  <si>
    <t>Enter Design Traffic Volume</t>
  </si>
  <si>
    <t>"Adjacent_Flared_Rigid"</t>
  </si>
  <si>
    <t>"Adjacent_Flared_Semi_Rigid"</t>
  </si>
  <si>
    <t>"Opposing_Flared_Rigid"</t>
  </si>
  <si>
    <t>"Opposing_Flared_Semi_Rigid"</t>
  </si>
  <si>
    <t>Suggested Shy-Line Offset AASHTO Table 5-7</t>
  </si>
  <si>
    <t>Shy-Line Offset (Ls)</t>
  </si>
  <si>
    <t>Suggested Flare Rates for Barrier Design AASHTO Table 5-9</t>
  </si>
  <si>
    <t>Semi Rigid</t>
  </si>
  <si>
    <t>Flare Rate for Barrier Inside Shy-Line</t>
  </si>
  <si>
    <t>Flare Rate for Barrier At or Beyond Shy-Line</t>
  </si>
  <si>
    <t>Y (ft)</t>
  </si>
  <si>
    <t>BRIDGE BARRIER</t>
  </si>
  <si>
    <t>Bridge Barrier</t>
  </si>
  <si>
    <t>This spreadsheet is an aide to assist the designer in determining barrier needs and is not intended to replace all other engineering considerations.  The information in this spreadsheet is derived from the 2011 AASHTO Roadside Design Guide; Tables 3.1(rev.July 2015), 3.2 (rev. July 2015), &amp; 5-10(b). [U.S. Customary Units] Refer to the Roadside Design Guide for further guidance.</t>
  </si>
  <si>
    <t>Curves flatter than 2950 ft do not require an adjusted clear-zone.</t>
  </si>
  <si>
    <t>-</t>
  </si>
  <si>
    <t>Not Allowable</t>
  </si>
  <si>
    <t>Clear Zone Range</t>
  </si>
  <si>
    <t>No Curve</t>
  </si>
  <si>
    <t>Min. Lc (ft)=</t>
  </si>
  <si>
    <t xml:space="preserve"> (Lc) Clear Zone Range (ft)</t>
  </si>
  <si>
    <t>(e) - If a Horizontal Curve value between 330 and 2950, is selected, a Curve Correction Factor will be applied to the Clear Zone distance.  Select radius closest to your curve.  Select the larger radius if half way between.  This corrected Clear Zone distance may affect the distance the designer will use for the extent of the hazardous area (La) and will greatly affect the Length of Need.  The clear-zone  correction factor is applied to the outside of curves only.  Select None for straight roadways and horizontal curves with a radius flatter than 2950 ft.  (AASHTO Table 3.2)  Too sharp of a curve radius for the selected design speed will give an ERROR.</t>
  </si>
  <si>
    <t>Curve Correction Factor Legend - Table 3-2</t>
  </si>
  <si>
    <t>Description:</t>
  </si>
  <si>
    <t>Modot EPG 231.2 Clear Zone</t>
  </si>
  <si>
    <t>Modot Qualified Products</t>
  </si>
  <si>
    <t>Modot Standard Plans</t>
  </si>
  <si>
    <t>/</t>
  </si>
  <si>
    <t>X =</t>
  </si>
  <si>
    <t>Length of Need Calculation (Parallel Installation)</t>
  </si>
  <si>
    <t>Y =</t>
  </si>
  <si>
    <t>Length of Need Calculation (Flared Installation)</t>
  </si>
  <si>
    <t>SUMMARY</t>
  </si>
  <si>
    <t>Engineering Policy Revision Request Form</t>
  </si>
  <si>
    <t>mailto:Engineering Policy &lt;engineering.policy@modot.mo.gov&gt;</t>
  </si>
  <si>
    <t>Runout Length for Design Speed and Traffic - AASHTO RDG Table 5-10b</t>
  </si>
  <si>
    <t>Informational Link - Roadside CE453 Lecture Slide Show - Iowa</t>
  </si>
  <si>
    <t>Informational Link - FHWA SAFETY</t>
  </si>
  <si>
    <t xml:space="preserve">(b) - Because recovery is less likely on the unshielded, traversable 1V:3H fill slopes, fixed objects should not be present in the vicinity of the toe of these slopes. Recovery of high-speed vehicles that encroach beyond the edge of the shoulder may be expected to occur beyond the toe of slope. Determination of the width of the recovery area at the toe of slope should consider right-of-way availability, environmental concerns, economic factors, safety needs, and crash histories. Also, the distance between the edge of the through traveled lane and the beginning of the 1V:3H slope should influence the recovery area provided at the toe of slope. While the application may be limited by several factors, the foreslope parameters that may enter into determining a maximum desirable recovery area are illustrated in Figure 3-2(See AASHTO Figure 3-2 Tab at the bottom). A 10-ft recovery area at the toe of slope should be provided for all traversable, non recoverable fill slopes. </t>
  </si>
  <si>
    <t>Enter (L2) Barrier Offset - Adjacent or Opposing</t>
  </si>
  <si>
    <t>Select Adjacent or Opposing for Undivided, or Adjacent for Divided</t>
  </si>
  <si>
    <t>End Anchor (ft)</t>
  </si>
  <si>
    <t>Length of CWET Included in L.O.N.(X)       (CWET REQUIRED if L.O.N.(X) is greater than 0)</t>
  </si>
  <si>
    <t>MASH</t>
  </si>
  <si>
    <t>NCHRP 350</t>
  </si>
  <si>
    <t>Guardrail Length (ft)</t>
  </si>
  <si>
    <t>Select Rail Type - MASH or NCHRP 350 for Barrier Curb</t>
  </si>
  <si>
    <t>Thrie Beam Rail</t>
  </si>
  <si>
    <t>Select Parallel or Flared/Semi Rigid or Flared/Rigid</t>
  </si>
  <si>
    <t>20 MPH</t>
  </si>
  <si>
    <t>2 - 6</t>
  </si>
  <si>
    <t>3 - 7</t>
  </si>
  <si>
    <t>25-30 MPH</t>
  </si>
  <si>
    <t>35 MPH</t>
  </si>
  <si>
    <t>5 - 8</t>
  </si>
  <si>
    <t>6 - 10</t>
  </si>
  <si>
    <t>7 - 10</t>
  </si>
  <si>
    <t>10 - 12</t>
  </si>
  <si>
    <t>7 - 12</t>
  </si>
  <si>
    <t>12 - 14</t>
  </si>
  <si>
    <t>14 - 16</t>
  </si>
  <si>
    <t>FHWA TABLE 2.1:   Clear Zone Distances from Edge of Through Traveled Way</t>
  </si>
  <si>
    <t>(U.S. CUSTOMARY UNITS) LOW VOLUME-LOW SPEED</t>
  </si>
  <si>
    <t>FHWA TABLE 2.2:  Horizontal Curve Adjustments</t>
  </si>
  <si>
    <t>KCZ (Curve Adjustment Factor) (U.S. CUSTOMARY UNITS)</t>
  </si>
  <si>
    <t>Curves flatter than 1150 ft do not require an adjusted clear-zone.</t>
  </si>
  <si>
    <t>Lc = clear zone distance (ft) (Table 2.1)</t>
  </si>
  <si>
    <t>BARRIER GUIDE</t>
  </si>
  <si>
    <t>FOR LOW VOLUME AND LOW SPEED ROADS</t>
  </si>
  <si>
    <t>PUBLICATION NO. FHWA-CFL-TD-05-009</t>
  </si>
  <si>
    <t>NOVEMBER 2005</t>
  </si>
  <si>
    <t>https://flh.fhwa.dot.gov/resources/design/library/FLH-Barrier-Guide.pdf</t>
  </si>
  <si>
    <t>Safety Barrier-Extended Curb</t>
  </si>
  <si>
    <t>Safety Barrier-Reg. or No Curb</t>
  </si>
  <si>
    <t>Length of CWET Beyond L.O.N.(X)</t>
  </si>
  <si>
    <t>LENGTH OF NEED-X (ft)</t>
  </si>
  <si>
    <t>Select Yes or No  and  Barrier Type</t>
  </si>
  <si>
    <t>Instructions:  Save As - your file name.  Fill in your project information.  Hover your cursor over cells with red marks for comments or tips. Pay attention to the various colored alert messages that may appear when different variables are selected.</t>
  </si>
  <si>
    <t xml:space="preserve">If you have any questions or comments about this spreadsheet or need further guidance pertaining to Modot Guardrail Design.  Contact Missouri Department of Transportation - Engineering Policy Group.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</si>
</sst>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8">
    <numFmt numFmtId="43" formatCode="_(* #,##0.00_);_(* \(#,##0.00\);_(* &quot;-&quot;??_);_(@_)"/>
    <numFmt numFmtId="164" formatCode="0.0"/>
    <numFmt numFmtId="165" formatCode="0.0000"/>
    <numFmt numFmtId="166" formatCode="0.000"/>
    <numFmt numFmtId="167" formatCode="\X\ \=\ #.00"/>
    <numFmt numFmtId="168" formatCode="\L\a\ \(\f\t\)\=\ #"/>
    <numFmt numFmtId="169" formatCode="\L\2\ \(\f\t\)\=\ #"/>
    <numFmt numFmtId="170" formatCode="\L\r\ \(\f\t\)\=\ #"/>
    <numFmt numFmtId="171" formatCode="\X\ \(\f\t\)\=\ #.0000"/>
    <numFmt numFmtId="172" formatCode="#\ &quot;: 1&quot;"/>
    <numFmt numFmtId="173" formatCode="&quot;Y (ft)&quot;\=\ #.0000"/>
    <numFmt numFmtId="174" formatCode="\L\s\ \(\f\t\)\=\ #"/>
    <numFmt numFmtId="175" formatCode="\L\1\ \(\f\t\)\=\ #.0"/>
    <numFmt numFmtId="176" formatCode="\(\ \ \L\a\=\ #\'"/>
    <numFmt numFmtId="177" formatCode="\L\2\=\ #\'\ \ \ \)"/>
    <numFmt numFmtId="178" formatCode="\L\r\=\ #\'\ \ \ \)"/>
    <numFmt numFmtId="179" formatCode="\-\ \ \ \ \L\2\=\ #\'"/>
    <numFmt numFmtId="180" formatCode="\L\a\=\ #\'\ \ \ \-"/>
    <numFmt numFmtId="181" formatCode="\+\ \ \ \(\ \L\a\=\ #\'"/>
    <numFmt numFmtId="182" formatCode="\=\ \ \ \ #.0000\'"/>
    <numFmt numFmtId="183" formatCode="\(\ \b\ \=\ \1\ &quot;/ a =&quot;\ \ #\)"/>
    <numFmt numFmtId="184" formatCode="\(\(\ \b\ \=\ \1\ &quot;/ a =&quot;\ \ #\)"/>
    <numFmt numFmtId="185" formatCode="\L\a\=\ #\'\ \ \ \+"/>
    <numFmt numFmtId="186" formatCode="\(\ \L\1\=\ #\'\)\)"/>
    <numFmt numFmtId="187" formatCode="\(\ \L\a\=\ #\'"/>
    <numFmt numFmtId="188" formatCode="\(\X\ \=\ #.0000\)"/>
    <numFmt numFmtId="189" formatCode="\ #\ \ &quot;Section(s) of 12.5' Guardrail Required&quot;"/>
    <numFmt numFmtId="190" formatCode="\ #.0\ \ &quot;Section(s) of 12.5' Guardrail Required&quot;"/>
  </numFmts>
  <fonts count="41" x14ac:knownFonts="1">
    <font>
      <sz val="11"/>
      <color theme="1"/>
      <name val="Calibri"/>
      <family val="2"/>
      <scheme val="minor"/>
    </font>
    <font>
      <b/>
      <sz val="11"/>
      <color theme="1"/>
      <name val="Calibri"/>
      <family val="2"/>
      <scheme val="minor"/>
    </font>
    <font>
      <sz val="10"/>
      <color rgb="FF333333"/>
      <name val="Verdana"/>
      <family val="2"/>
    </font>
    <font>
      <sz val="11"/>
      <color rgb="FF333333"/>
      <name val="Consolas"/>
      <family val="3"/>
    </font>
    <font>
      <i/>
      <sz val="11"/>
      <color theme="1"/>
      <name val="Calibri"/>
      <family val="2"/>
      <scheme val="minor"/>
    </font>
    <font>
      <b/>
      <sz val="14"/>
      <color theme="1"/>
      <name val="Calibri"/>
      <family val="2"/>
      <scheme val="minor"/>
    </font>
    <font>
      <sz val="14"/>
      <color theme="1"/>
      <name val="Calibri"/>
      <family val="2"/>
      <scheme val="minor"/>
    </font>
    <font>
      <sz val="12"/>
      <color theme="1"/>
      <name val="Calibri"/>
      <family val="2"/>
      <scheme val="minor"/>
    </font>
    <font>
      <b/>
      <sz val="20"/>
      <color theme="1"/>
      <name val="Calibri"/>
      <family val="2"/>
      <scheme val="minor"/>
    </font>
    <font>
      <sz val="10"/>
      <color theme="1"/>
      <name val="Calibri"/>
      <family val="2"/>
      <scheme val="minor"/>
    </font>
    <font>
      <i/>
      <sz val="11"/>
      <color rgb="FFFF0000"/>
      <name val="Calibri"/>
      <family val="2"/>
      <scheme val="minor"/>
    </font>
    <font>
      <sz val="9"/>
      <color indexed="81"/>
      <name val="Tahoma"/>
      <family val="2"/>
    </font>
    <font>
      <b/>
      <sz val="9"/>
      <color indexed="81"/>
      <name val="Tahoma"/>
      <family val="2"/>
    </font>
    <font>
      <b/>
      <sz val="12"/>
      <color theme="1"/>
      <name val="Calibri"/>
      <family val="2"/>
      <scheme val="minor"/>
    </font>
    <font>
      <b/>
      <sz val="14"/>
      <color theme="6" tint="-0.249977111117893"/>
      <name val="Calibri"/>
      <family val="2"/>
      <scheme val="minor"/>
    </font>
    <font>
      <b/>
      <sz val="11"/>
      <color theme="6" tint="-0.249977111117893"/>
      <name val="Calibri"/>
      <family val="2"/>
      <scheme val="minor"/>
    </font>
    <font>
      <b/>
      <sz val="10"/>
      <color theme="1"/>
      <name val="Arial"/>
      <family val="2"/>
    </font>
    <font>
      <sz val="10"/>
      <color indexed="22"/>
      <name val="Arial"/>
      <family val="2"/>
    </font>
    <font>
      <b/>
      <i/>
      <sz val="12"/>
      <color theme="1"/>
      <name val="Calibri"/>
      <family val="2"/>
      <scheme val="minor"/>
    </font>
    <font>
      <b/>
      <i/>
      <sz val="11"/>
      <color theme="1"/>
      <name val="Calibri"/>
      <family val="2"/>
      <scheme val="minor"/>
    </font>
    <font>
      <sz val="14"/>
      <name val="Calibri"/>
      <family val="2"/>
      <scheme val="minor"/>
    </font>
    <font>
      <i/>
      <sz val="11"/>
      <name val="Calibri"/>
      <family val="2"/>
      <scheme val="minor"/>
    </font>
    <font>
      <u/>
      <sz val="11"/>
      <color theme="10"/>
      <name val="Calibri"/>
      <family val="2"/>
      <scheme val="minor"/>
    </font>
    <font>
      <b/>
      <sz val="10"/>
      <color indexed="10"/>
      <name val="Tahoma"/>
      <family val="2"/>
    </font>
    <font>
      <b/>
      <sz val="16"/>
      <color theme="1"/>
      <name val="Calibri"/>
      <family val="2"/>
      <scheme val="minor"/>
    </font>
    <font>
      <b/>
      <sz val="16"/>
      <name val="Lucida Sans"/>
      <family val="2"/>
    </font>
    <font>
      <b/>
      <i/>
      <sz val="16"/>
      <name val="Lucida Sans"/>
      <family val="2"/>
    </font>
    <font>
      <b/>
      <sz val="16"/>
      <color theme="1"/>
      <name val="Lucida Sans"/>
      <family val="2"/>
    </font>
    <font>
      <b/>
      <i/>
      <sz val="16"/>
      <color theme="1"/>
      <name val="Lucida Sans"/>
      <family val="2"/>
    </font>
    <font>
      <i/>
      <sz val="11"/>
      <color theme="1"/>
      <name val="Lucida Sans"/>
      <family val="2"/>
    </font>
    <font>
      <b/>
      <i/>
      <sz val="11"/>
      <color theme="1"/>
      <name val="Lucida Sans"/>
      <family val="2"/>
    </font>
    <font>
      <sz val="18"/>
      <color rgb="FFFF0000"/>
      <name val="Calibri"/>
      <family val="2"/>
      <scheme val="minor"/>
    </font>
    <font>
      <u/>
      <sz val="20"/>
      <color theme="10"/>
      <name val="Calibri"/>
      <family val="2"/>
      <scheme val="minor"/>
    </font>
    <font>
      <sz val="16"/>
      <color theme="1"/>
      <name val="Calibri"/>
      <family val="2"/>
      <scheme val="minor"/>
    </font>
    <font>
      <b/>
      <sz val="10"/>
      <color theme="1"/>
      <name val="Calibri"/>
      <family val="2"/>
      <scheme val="minor"/>
    </font>
    <font>
      <sz val="11"/>
      <color theme="1"/>
      <name val="Calibri"/>
      <family val="2"/>
      <scheme val="minor"/>
    </font>
    <font>
      <b/>
      <sz val="9"/>
      <color indexed="81"/>
      <name val="Tahoma"/>
      <charset val="1"/>
    </font>
    <font>
      <sz val="8"/>
      <name val="Calibri"/>
      <family val="2"/>
      <scheme val="minor"/>
    </font>
    <font>
      <b/>
      <sz val="10"/>
      <color theme="6" tint="-0.249977111117893"/>
      <name val="Calibri"/>
      <family val="2"/>
      <scheme val="minor"/>
    </font>
    <font>
      <b/>
      <sz val="12"/>
      <name val="Calibri"/>
      <family val="2"/>
      <scheme val="minor"/>
    </font>
    <font>
      <i/>
      <sz val="12"/>
      <color theme="1"/>
      <name val="Calibri"/>
      <family val="2"/>
      <scheme val="minor"/>
    </font>
  </fonts>
  <fills count="14">
    <fill>
      <patternFill patternType="none"/>
    </fill>
    <fill>
      <patternFill patternType="gray125"/>
    </fill>
    <fill>
      <patternFill patternType="solid">
        <fgColor theme="4" tint="0.79998168889431442"/>
        <bgColor indexed="64"/>
      </patternFill>
    </fill>
    <fill>
      <patternFill patternType="solid">
        <fgColor theme="0" tint="-0.14999847407452621"/>
        <bgColor indexed="64"/>
      </patternFill>
    </fill>
    <fill>
      <patternFill patternType="solid">
        <fgColor theme="5" tint="0.79998168889431442"/>
        <bgColor indexed="64"/>
      </patternFill>
    </fill>
    <fill>
      <patternFill patternType="solid">
        <fgColor theme="9" tint="0.39997558519241921"/>
        <bgColor indexed="64"/>
      </patternFill>
    </fill>
    <fill>
      <patternFill patternType="solid">
        <fgColor theme="6" tint="0.39997558519241921"/>
        <bgColor indexed="64"/>
      </patternFill>
    </fill>
    <fill>
      <patternFill patternType="solid">
        <fgColor theme="7" tint="0.59999389629810485"/>
        <bgColor indexed="64"/>
      </patternFill>
    </fill>
    <fill>
      <patternFill patternType="solid">
        <fgColor rgb="FFFFFF00"/>
        <bgColor indexed="64"/>
      </patternFill>
    </fill>
    <fill>
      <patternFill patternType="solid">
        <fgColor theme="2" tint="-0.499984740745262"/>
        <bgColor indexed="64"/>
      </patternFill>
    </fill>
    <fill>
      <patternFill patternType="solid">
        <fgColor theme="0" tint="-0.249977111117893"/>
        <bgColor indexed="64"/>
      </patternFill>
    </fill>
    <fill>
      <patternFill patternType="solid">
        <fgColor theme="0" tint="-0.24994659260841701"/>
        <bgColor indexed="64"/>
      </patternFill>
    </fill>
    <fill>
      <patternFill patternType="solid">
        <fgColor theme="6" tint="0.79998168889431442"/>
        <bgColor indexed="64"/>
      </patternFill>
    </fill>
    <fill>
      <patternFill patternType="solid">
        <fgColor theme="0" tint="-0.14996795556505021"/>
        <bgColor indexed="64"/>
      </patternFill>
    </fill>
  </fills>
  <borders count="98">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right/>
      <top/>
      <bottom style="medium">
        <color indexed="64"/>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style="medium">
        <color indexed="64"/>
      </right>
      <top style="medium">
        <color indexed="64"/>
      </top>
      <bottom/>
      <diagonal/>
    </border>
    <border>
      <left/>
      <right/>
      <top style="medium">
        <color indexed="64"/>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right/>
      <top style="medium">
        <color indexed="64"/>
      </top>
      <bottom style="medium">
        <color indexed="64"/>
      </bottom>
      <diagonal/>
    </border>
    <border>
      <left style="thin">
        <color indexed="64"/>
      </left>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dashed">
        <color indexed="64"/>
      </top>
      <bottom style="medium">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medium">
        <color indexed="64"/>
      </left>
      <right style="medium">
        <color indexed="64"/>
      </right>
      <top style="dashed">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medium">
        <color indexed="64"/>
      </left>
      <right style="medium">
        <color indexed="64"/>
      </right>
      <top/>
      <bottom/>
      <diagonal/>
    </border>
    <border>
      <left style="thin">
        <color auto="1"/>
      </left>
      <right/>
      <top style="thin">
        <color auto="1"/>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right style="thin">
        <color indexed="64"/>
      </right>
      <top style="thin">
        <color indexed="64"/>
      </top>
      <bottom/>
      <diagonal/>
    </border>
    <border>
      <left style="thin">
        <color indexed="64"/>
      </left>
      <right style="thin">
        <color indexed="64"/>
      </right>
      <top style="thick">
        <color indexed="64"/>
      </top>
      <bottom style="thin">
        <color indexed="64"/>
      </bottom>
      <diagonal/>
    </border>
    <border>
      <left/>
      <right style="thin">
        <color indexed="64"/>
      </right>
      <top/>
      <bottom/>
      <diagonal/>
    </border>
    <border>
      <left style="medium">
        <color indexed="64"/>
      </left>
      <right style="medium">
        <color indexed="64"/>
      </right>
      <top style="thin">
        <color indexed="64"/>
      </top>
      <bottom/>
      <diagonal/>
    </border>
    <border>
      <left style="thick">
        <color indexed="64"/>
      </left>
      <right/>
      <top style="thick">
        <color indexed="64"/>
      </top>
      <bottom style="thin">
        <color indexed="64"/>
      </bottom>
      <diagonal/>
    </border>
    <border>
      <left/>
      <right/>
      <top style="thick">
        <color indexed="64"/>
      </top>
      <bottom style="thin">
        <color indexed="64"/>
      </bottom>
      <diagonal/>
    </border>
    <border>
      <left/>
      <right style="thin">
        <color auto="1"/>
      </right>
      <top style="thick">
        <color indexed="64"/>
      </top>
      <bottom style="thin">
        <color indexed="64"/>
      </bottom>
      <diagonal/>
    </border>
    <border>
      <left style="thin">
        <color indexed="64"/>
      </left>
      <right style="thick">
        <color indexed="64"/>
      </right>
      <top style="thick">
        <color indexed="64"/>
      </top>
      <bottom style="thin">
        <color indexed="64"/>
      </bottom>
      <diagonal/>
    </border>
    <border>
      <left style="thick">
        <color indexed="64"/>
      </left>
      <right style="thin">
        <color indexed="64"/>
      </right>
      <top style="thin">
        <color indexed="64"/>
      </top>
      <bottom/>
      <diagonal/>
    </border>
    <border>
      <left style="thin">
        <color indexed="64"/>
      </left>
      <right style="thick">
        <color indexed="64"/>
      </right>
      <top style="thin">
        <color indexed="64"/>
      </top>
      <bottom/>
      <diagonal/>
    </border>
    <border>
      <left style="thick">
        <color indexed="64"/>
      </left>
      <right style="thin">
        <color indexed="64"/>
      </right>
      <top style="thick">
        <color indexed="64"/>
      </top>
      <bottom style="thin">
        <color indexed="64"/>
      </bottom>
      <diagonal/>
    </border>
    <border>
      <left style="thick">
        <color indexed="64"/>
      </left>
      <right style="thin">
        <color indexed="64"/>
      </right>
      <top style="thin">
        <color indexed="64"/>
      </top>
      <bottom style="thin">
        <color indexed="64"/>
      </bottom>
      <diagonal/>
    </border>
    <border>
      <left style="thin">
        <color indexed="64"/>
      </left>
      <right style="thick">
        <color indexed="64"/>
      </right>
      <top style="thin">
        <color indexed="64"/>
      </top>
      <bottom style="thin">
        <color indexed="64"/>
      </bottom>
      <diagonal/>
    </border>
    <border>
      <left style="thick">
        <color indexed="64"/>
      </left>
      <right style="thin">
        <color indexed="64"/>
      </right>
      <top style="thin">
        <color indexed="64"/>
      </top>
      <bottom style="thick">
        <color indexed="64"/>
      </bottom>
      <diagonal/>
    </border>
    <border>
      <left style="thin">
        <color indexed="64"/>
      </left>
      <right style="thin">
        <color indexed="64"/>
      </right>
      <top style="thin">
        <color indexed="64"/>
      </top>
      <bottom style="thick">
        <color indexed="64"/>
      </bottom>
      <diagonal/>
    </border>
    <border>
      <left style="thin">
        <color indexed="64"/>
      </left>
      <right style="thick">
        <color indexed="64"/>
      </right>
      <top style="thin">
        <color indexed="64"/>
      </top>
      <bottom style="thick">
        <color indexed="64"/>
      </bottom>
      <diagonal/>
    </border>
    <border>
      <left style="thick">
        <color indexed="64"/>
      </left>
      <right/>
      <top style="thick">
        <color indexed="64"/>
      </top>
      <bottom style="thick">
        <color indexed="64"/>
      </bottom>
      <diagonal/>
    </border>
    <border>
      <left/>
      <right/>
      <top style="thick">
        <color indexed="64"/>
      </top>
      <bottom style="thick">
        <color indexed="64"/>
      </bottom>
      <diagonal/>
    </border>
    <border>
      <left/>
      <right style="thick">
        <color indexed="64"/>
      </right>
      <top style="thick">
        <color indexed="64"/>
      </top>
      <bottom style="thick">
        <color indexed="64"/>
      </bottom>
      <diagonal/>
    </border>
    <border>
      <left/>
      <right style="thick">
        <color indexed="64"/>
      </right>
      <top style="thick">
        <color indexed="64"/>
      </top>
      <bottom/>
      <diagonal/>
    </border>
    <border>
      <left/>
      <right style="thick">
        <color indexed="64"/>
      </right>
      <top/>
      <bottom style="thick">
        <color indexed="64"/>
      </bottom>
      <diagonal/>
    </border>
    <border>
      <left style="thick">
        <color indexed="64"/>
      </left>
      <right style="medium">
        <color indexed="64"/>
      </right>
      <top style="thick">
        <color indexed="64"/>
      </top>
      <bottom style="thin">
        <color indexed="64"/>
      </bottom>
      <diagonal/>
    </border>
    <border>
      <left style="thick">
        <color indexed="64"/>
      </left>
      <right style="medium">
        <color indexed="64"/>
      </right>
      <top style="thin">
        <color indexed="64"/>
      </top>
      <bottom style="thick">
        <color indexed="64"/>
      </bottom>
      <diagonal/>
    </border>
    <border>
      <left style="thick">
        <color auto="1"/>
      </left>
      <right/>
      <top style="thick">
        <color auto="1"/>
      </top>
      <bottom/>
      <diagonal/>
    </border>
    <border>
      <left/>
      <right/>
      <top style="thick">
        <color auto="1"/>
      </top>
      <bottom/>
      <diagonal/>
    </border>
    <border>
      <left style="thick">
        <color auto="1"/>
      </left>
      <right/>
      <top/>
      <bottom/>
      <diagonal/>
    </border>
    <border>
      <left/>
      <right style="thick">
        <color auto="1"/>
      </right>
      <top/>
      <bottom/>
      <diagonal/>
    </border>
    <border>
      <left style="thick">
        <color auto="1"/>
      </left>
      <right/>
      <top/>
      <bottom style="thick">
        <color auto="1"/>
      </bottom>
      <diagonal/>
    </border>
    <border>
      <left/>
      <right/>
      <top/>
      <bottom style="thick">
        <color auto="1"/>
      </bottom>
      <diagonal/>
    </border>
    <border>
      <left/>
      <right style="thick">
        <color auto="1"/>
      </right>
      <top style="thick">
        <color auto="1"/>
      </top>
      <bottom style="thin">
        <color indexed="64"/>
      </bottom>
      <diagonal/>
    </border>
    <border>
      <left/>
      <right style="thick">
        <color auto="1"/>
      </right>
      <top style="thin">
        <color indexed="64"/>
      </top>
      <bottom style="thin">
        <color indexed="64"/>
      </bottom>
      <diagonal/>
    </border>
    <border>
      <left style="thin">
        <color indexed="64"/>
      </left>
      <right/>
      <top style="thin">
        <color indexed="64"/>
      </top>
      <bottom style="thick">
        <color auto="1"/>
      </bottom>
      <diagonal/>
    </border>
    <border>
      <left/>
      <right style="thin">
        <color indexed="64"/>
      </right>
      <top style="thin">
        <color indexed="64"/>
      </top>
      <bottom style="thick">
        <color auto="1"/>
      </bottom>
      <diagonal/>
    </border>
    <border>
      <left/>
      <right style="thick">
        <color auto="1"/>
      </right>
      <top style="thin">
        <color indexed="64"/>
      </top>
      <bottom style="thick">
        <color auto="1"/>
      </bottom>
      <diagonal/>
    </border>
    <border>
      <left style="thick">
        <color indexed="64"/>
      </left>
      <right/>
      <top style="thin">
        <color indexed="64"/>
      </top>
      <bottom style="thin">
        <color indexed="64"/>
      </bottom>
      <diagonal/>
    </border>
    <border>
      <left style="thick">
        <color indexed="64"/>
      </left>
      <right style="medium">
        <color indexed="64"/>
      </right>
      <top style="thick">
        <color indexed="64"/>
      </top>
      <bottom style="medium">
        <color indexed="64"/>
      </bottom>
      <diagonal/>
    </border>
    <border>
      <left style="medium">
        <color indexed="64"/>
      </left>
      <right style="medium">
        <color indexed="64"/>
      </right>
      <top style="thick">
        <color indexed="64"/>
      </top>
      <bottom style="medium">
        <color indexed="64"/>
      </bottom>
      <diagonal/>
    </border>
    <border>
      <left style="thick">
        <color indexed="64"/>
      </left>
      <right style="thin">
        <color indexed="64"/>
      </right>
      <top/>
      <bottom style="thin">
        <color indexed="64"/>
      </bottom>
      <diagonal/>
    </border>
    <border>
      <left style="thin">
        <color indexed="64"/>
      </left>
      <right style="thick">
        <color indexed="64"/>
      </right>
      <top/>
      <bottom style="thin">
        <color indexed="64"/>
      </bottom>
      <diagonal/>
    </border>
    <border>
      <left style="thick">
        <color auto="1"/>
      </left>
      <right style="thin">
        <color indexed="64"/>
      </right>
      <top/>
      <bottom/>
      <diagonal/>
    </border>
    <border>
      <left/>
      <right/>
      <top style="thin">
        <color indexed="64"/>
      </top>
      <bottom style="thick">
        <color auto="1"/>
      </bottom>
      <diagonal/>
    </border>
    <border>
      <left style="medium">
        <color indexed="64"/>
      </left>
      <right/>
      <top style="thick">
        <color indexed="64"/>
      </top>
      <bottom style="thin">
        <color indexed="64"/>
      </bottom>
      <diagonal/>
    </border>
    <border>
      <left/>
      <right style="medium">
        <color indexed="64"/>
      </right>
      <top style="thick">
        <color indexed="64"/>
      </top>
      <bottom style="thin">
        <color indexed="64"/>
      </bottom>
      <diagonal/>
    </border>
    <border>
      <left style="medium">
        <color indexed="64"/>
      </left>
      <right style="dashed">
        <color indexed="64"/>
      </right>
      <top style="thin">
        <color indexed="64"/>
      </top>
      <bottom style="thick">
        <color indexed="64"/>
      </bottom>
      <diagonal/>
    </border>
    <border>
      <left style="dashed">
        <color indexed="64"/>
      </left>
      <right style="medium">
        <color indexed="64"/>
      </right>
      <top style="thin">
        <color indexed="64"/>
      </top>
      <bottom style="thick">
        <color indexed="64"/>
      </bottom>
      <diagonal/>
    </border>
    <border>
      <left style="hair">
        <color indexed="64"/>
      </left>
      <right style="thick">
        <color indexed="64"/>
      </right>
      <top style="thick">
        <color indexed="64"/>
      </top>
      <bottom style="thin">
        <color indexed="64"/>
      </bottom>
      <diagonal/>
    </border>
    <border>
      <left style="medium">
        <color indexed="64"/>
      </left>
      <right/>
      <top style="medium">
        <color indexed="64"/>
      </top>
      <bottom style="dashed">
        <color indexed="64"/>
      </bottom>
      <diagonal/>
    </border>
    <border>
      <left/>
      <right style="medium">
        <color indexed="64"/>
      </right>
      <top style="medium">
        <color indexed="64"/>
      </top>
      <bottom style="dashed">
        <color indexed="64"/>
      </bottom>
      <diagonal/>
    </border>
    <border>
      <left/>
      <right style="medium">
        <color indexed="64"/>
      </right>
      <top style="dashed">
        <color indexed="64"/>
      </top>
      <bottom style="medium">
        <color indexed="64"/>
      </bottom>
      <diagonal/>
    </border>
    <border>
      <left/>
      <right/>
      <top style="medium">
        <color indexed="64"/>
      </top>
      <bottom style="dashed">
        <color indexed="64"/>
      </bottom>
      <diagonal/>
    </border>
    <border>
      <left/>
      <right/>
      <top style="dashed">
        <color indexed="64"/>
      </top>
      <bottom style="medium">
        <color indexed="64"/>
      </bottom>
      <diagonal/>
    </border>
    <border>
      <left style="thin">
        <color indexed="64"/>
      </left>
      <right/>
      <top/>
      <bottom style="thick">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top style="thick">
        <color indexed="64"/>
      </top>
      <bottom style="thin">
        <color indexed="64"/>
      </bottom>
      <diagonal/>
    </border>
    <border>
      <left/>
      <right style="hair">
        <color indexed="64"/>
      </right>
      <top style="thick">
        <color indexed="64"/>
      </top>
      <bottom style="thin">
        <color indexed="64"/>
      </bottom>
      <diagonal/>
    </border>
    <border>
      <left style="thick">
        <color indexed="64"/>
      </left>
      <right style="hair">
        <color indexed="64"/>
      </right>
      <top style="thick">
        <color indexed="64"/>
      </top>
      <bottom style="thin">
        <color indexed="64"/>
      </bottom>
      <diagonal/>
    </border>
    <border>
      <left style="thick">
        <color indexed="64"/>
      </left>
      <right/>
      <top style="thin">
        <color indexed="64"/>
      </top>
      <bottom style="thick">
        <color auto="1"/>
      </bottom>
      <diagonal/>
    </border>
    <border>
      <left style="hair">
        <color indexed="64"/>
      </left>
      <right/>
      <top style="thick">
        <color indexed="64"/>
      </top>
      <bottom style="thin">
        <color indexed="64"/>
      </bottom>
      <diagonal/>
    </border>
    <border>
      <left style="thick">
        <color auto="1"/>
      </left>
      <right/>
      <top/>
      <bottom style="dashed">
        <color auto="1"/>
      </bottom>
      <diagonal/>
    </border>
    <border>
      <left/>
      <right/>
      <top style="thin">
        <color indexed="64"/>
      </top>
      <bottom style="dashed">
        <color auto="1"/>
      </bottom>
      <diagonal/>
    </border>
    <border>
      <left/>
      <right/>
      <top/>
      <bottom style="dashed">
        <color auto="1"/>
      </bottom>
      <diagonal/>
    </border>
    <border>
      <left/>
      <right style="thick">
        <color indexed="64"/>
      </right>
      <top/>
      <bottom style="dashed">
        <color auto="1"/>
      </bottom>
      <diagonal/>
    </border>
  </borders>
  <cellStyleXfs count="3">
    <xf numFmtId="0" fontId="0" fillId="0" borderId="0"/>
    <xf numFmtId="0" fontId="22" fillId="0" borderId="0" applyNumberFormat="0" applyFill="0" applyBorder="0" applyAlignment="0" applyProtection="0"/>
    <xf numFmtId="43" fontId="35" fillId="0" borderId="0" applyFont="0" applyFill="0" applyBorder="0" applyAlignment="0" applyProtection="0"/>
  </cellStyleXfs>
  <cellXfs count="510">
    <xf numFmtId="0" fontId="0" fillId="0" borderId="0" xfId="0"/>
    <xf numFmtId="0" fontId="0" fillId="0" borderId="0" xfId="0" applyProtection="1"/>
    <xf numFmtId="0" fontId="0" fillId="0" borderId="0" xfId="0" applyFill="1" applyProtection="1"/>
    <xf numFmtId="0" fontId="1" fillId="0" borderId="5" xfId="0" applyFont="1" applyFill="1" applyBorder="1" applyAlignment="1" applyProtection="1">
      <alignment horizontal="left" vertical="center"/>
    </xf>
    <xf numFmtId="0" fontId="1" fillId="0" borderId="5" xfId="0" quotePrefix="1" applyFont="1" applyFill="1" applyBorder="1" applyAlignment="1" applyProtection="1">
      <alignment horizontal="left" vertical="center"/>
    </xf>
    <xf numFmtId="0" fontId="0" fillId="0" borderId="1" xfId="0" applyFill="1" applyBorder="1" applyAlignment="1" applyProtection="1">
      <alignment horizontal="center" vertical="center"/>
    </xf>
    <xf numFmtId="0" fontId="0" fillId="0" borderId="1" xfId="0" applyFont="1" applyFill="1" applyBorder="1" applyAlignment="1" applyProtection="1">
      <alignment horizontal="center" vertical="center"/>
    </xf>
    <xf numFmtId="0" fontId="0" fillId="0" borderId="0" xfId="0" applyFont="1" applyFill="1" applyBorder="1" applyAlignment="1" applyProtection="1">
      <alignment horizontal="right" vertical="center"/>
    </xf>
    <xf numFmtId="0" fontId="0" fillId="0" borderId="0" xfId="0" applyFont="1" applyFill="1" applyBorder="1" applyAlignment="1" applyProtection="1">
      <alignment horizontal="center" vertical="center"/>
    </xf>
    <xf numFmtId="0" fontId="0" fillId="3" borderId="0" xfId="0" applyFill="1" applyProtection="1"/>
    <xf numFmtId="0" fontId="0" fillId="3" borderId="0" xfId="0" applyFill="1" applyAlignment="1" applyProtection="1">
      <alignment horizontal="left"/>
    </xf>
    <xf numFmtId="0" fontId="2" fillId="3" borderId="0" xfId="0" applyFont="1" applyFill="1" applyProtection="1"/>
    <xf numFmtId="0" fontId="3" fillId="3" borderId="0" xfId="0" applyFont="1" applyFill="1" applyBorder="1" applyAlignment="1" applyProtection="1">
      <alignment horizontal="left" vertical="center" indent="1"/>
    </xf>
    <xf numFmtId="0" fontId="0" fillId="3" borderId="0" xfId="0" applyFill="1" applyBorder="1" applyAlignment="1" applyProtection="1">
      <alignment horizontal="center"/>
    </xf>
    <xf numFmtId="0" fontId="0" fillId="3" borderId="0" xfId="0" applyFill="1" applyBorder="1" applyAlignment="1" applyProtection="1">
      <alignment wrapText="1"/>
    </xf>
    <xf numFmtId="0" fontId="0" fillId="3" borderId="0" xfId="0" applyFill="1" applyBorder="1" applyAlignment="1" applyProtection="1">
      <alignment vertical="center"/>
    </xf>
    <xf numFmtId="0" fontId="0" fillId="3" borderId="0" xfId="0" applyFill="1" applyBorder="1" applyProtection="1"/>
    <xf numFmtId="0" fontId="0" fillId="0" borderId="1" xfId="0" applyFill="1" applyBorder="1" applyProtection="1"/>
    <xf numFmtId="0" fontId="1" fillId="0" borderId="1" xfId="0" applyFont="1" applyFill="1" applyBorder="1" applyAlignment="1" applyProtection="1">
      <alignment horizontal="center" vertical="center"/>
    </xf>
    <xf numFmtId="0" fontId="0" fillId="0" borderId="7" xfId="0" applyFill="1" applyBorder="1" applyAlignment="1" applyProtection="1"/>
    <xf numFmtId="0" fontId="0" fillId="0" borderId="12" xfId="0" applyFill="1" applyBorder="1" applyAlignment="1" applyProtection="1"/>
    <xf numFmtId="0" fontId="0" fillId="0" borderId="11" xfId="0" applyFill="1" applyBorder="1" applyAlignment="1" applyProtection="1"/>
    <xf numFmtId="0" fontId="0" fillId="0" borderId="8" xfId="0" applyFill="1" applyBorder="1" applyAlignment="1" applyProtection="1">
      <alignment horizontal="center"/>
    </xf>
    <xf numFmtId="0" fontId="0" fillId="0" borderId="13" xfId="0" applyFill="1" applyBorder="1" applyAlignment="1" applyProtection="1">
      <alignment horizontal="center"/>
    </xf>
    <xf numFmtId="0" fontId="0" fillId="0" borderId="14" xfId="0" applyFill="1" applyBorder="1" applyAlignment="1" applyProtection="1">
      <alignment horizontal="center"/>
    </xf>
    <xf numFmtId="0" fontId="0" fillId="0" borderId="6" xfId="0" applyFill="1" applyBorder="1" applyAlignment="1" applyProtection="1">
      <alignment horizontal="center"/>
    </xf>
    <xf numFmtId="0" fontId="0" fillId="0" borderId="15" xfId="0" applyFill="1" applyBorder="1" applyAlignment="1" applyProtection="1">
      <alignment horizontal="center"/>
    </xf>
    <xf numFmtId="0" fontId="0" fillId="0" borderId="0" xfId="0" applyFill="1" applyBorder="1" applyProtection="1"/>
    <xf numFmtId="0" fontId="1" fillId="0" borderId="29" xfId="0" applyFont="1" applyFill="1" applyBorder="1" applyAlignment="1" applyProtection="1">
      <alignment horizontal="left" vertical="center"/>
    </xf>
    <xf numFmtId="0" fontId="0" fillId="0" borderId="0" xfId="0" applyFill="1" applyAlignment="1" applyProtection="1">
      <alignment horizontal="center"/>
    </xf>
    <xf numFmtId="0" fontId="4" fillId="3" borderId="8" xfId="0" applyFont="1" applyFill="1" applyBorder="1" applyAlignment="1" applyProtection="1">
      <alignment horizontal="left" vertical="center"/>
    </xf>
    <xf numFmtId="0" fontId="0" fillId="0" borderId="0" xfId="0" applyFill="1" applyBorder="1" applyAlignment="1" applyProtection="1">
      <alignment horizontal="center"/>
    </xf>
    <xf numFmtId="0" fontId="6" fillId="0" borderId="1" xfId="0" applyFont="1" applyFill="1" applyBorder="1" applyAlignment="1" applyProtection="1">
      <alignment horizontal="center" vertical="center"/>
    </xf>
    <xf numFmtId="0" fontId="6" fillId="0" borderId="1" xfId="0" applyFont="1" applyFill="1" applyBorder="1" applyAlignment="1" applyProtection="1">
      <alignment horizontal="center"/>
    </xf>
    <xf numFmtId="0" fontId="0" fillId="0" borderId="27" xfId="0" applyFill="1" applyBorder="1" applyAlignment="1" applyProtection="1">
      <alignment horizontal="center" vertical="center"/>
    </xf>
    <xf numFmtId="0" fontId="0" fillId="0" borderId="36" xfId="0" applyFill="1" applyBorder="1" applyAlignment="1" applyProtection="1">
      <alignment horizontal="center" vertical="center"/>
    </xf>
    <xf numFmtId="0" fontId="0" fillId="0" borderId="27" xfId="0" applyFill="1" applyBorder="1" applyAlignment="1" applyProtection="1">
      <alignment horizontal="center" vertical="center" wrapText="1"/>
    </xf>
    <xf numFmtId="0" fontId="10" fillId="0" borderId="0" xfId="0" applyFont="1" applyFill="1" applyProtection="1"/>
    <xf numFmtId="0" fontId="13" fillId="0" borderId="0" xfId="0" applyFont="1" applyFill="1" applyAlignment="1" applyProtection="1">
      <alignment horizontal="center"/>
    </xf>
    <xf numFmtId="0" fontId="0" fillId="0" borderId="29" xfId="0" applyFill="1" applyBorder="1" applyAlignment="1" applyProtection="1">
      <alignment horizontal="center" vertical="center"/>
    </xf>
    <xf numFmtId="0" fontId="1" fillId="0" borderId="38" xfId="0" applyFont="1" applyFill="1" applyBorder="1" applyAlignment="1" applyProtection="1">
      <alignment horizontal="center" vertical="center"/>
    </xf>
    <xf numFmtId="0" fontId="1" fillId="0" borderId="38" xfId="0" applyFont="1" applyFill="1" applyBorder="1" applyAlignment="1" applyProtection="1">
      <alignment horizontal="left" vertical="center"/>
    </xf>
    <xf numFmtId="0" fontId="0" fillId="0" borderId="43" xfId="0" applyFill="1" applyBorder="1" applyAlignment="1" applyProtection="1">
      <alignment horizontal="center" vertical="center"/>
    </xf>
    <xf numFmtId="0" fontId="0" fillId="0" borderId="45" xfId="0" applyFill="1" applyBorder="1" applyAlignment="1" applyProtection="1">
      <alignment horizontal="center" vertical="center"/>
    </xf>
    <xf numFmtId="0" fontId="0" fillId="0" borderId="46" xfId="0" applyFill="1" applyBorder="1" applyAlignment="1" applyProtection="1">
      <alignment horizontal="center" vertical="center"/>
    </xf>
    <xf numFmtId="0" fontId="0" fillId="0" borderId="47" xfId="0" applyFill="1" applyBorder="1" applyAlignment="1" applyProtection="1">
      <alignment horizontal="center" vertical="center"/>
    </xf>
    <xf numFmtId="0" fontId="0" fillId="0" borderId="48" xfId="0" applyFill="1" applyBorder="1" applyAlignment="1" applyProtection="1">
      <alignment horizontal="center" vertical="center"/>
    </xf>
    <xf numFmtId="0" fontId="0" fillId="0" borderId="49" xfId="0" applyFill="1" applyBorder="1" applyAlignment="1" applyProtection="1">
      <alignment horizontal="center" vertical="center"/>
    </xf>
    <xf numFmtId="0" fontId="0" fillId="0" borderId="50" xfId="0" applyFill="1" applyBorder="1" applyAlignment="1" applyProtection="1">
      <alignment horizontal="center" vertical="center"/>
    </xf>
    <xf numFmtId="0" fontId="0" fillId="0" borderId="54" xfId="0" applyFill="1" applyBorder="1" applyProtection="1"/>
    <xf numFmtId="0" fontId="0" fillId="0" borderId="55" xfId="0" applyFill="1" applyBorder="1" applyProtection="1"/>
    <xf numFmtId="0" fontId="0" fillId="0" borderId="56" xfId="0" applyFill="1" applyBorder="1" applyAlignment="1" applyProtection="1">
      <alignment horizontal="center" vertical="center"/>
    </xf>
    <xf numFmtId="0" fontId="1" fillId="0" borderId="57" xfId="0" applyFont="1" applyFill="1" applyBorder="1" applyAlignment="1" applyProtection="1">
      <alignment horizontal="center" vertical="center"/>
    </xf>
    <xf numFmtId="0" fontId="0" fillId="0" borderId="17" xfId="0" applyFont="1" applyFill="1" applyBorder="1" applyAlignment="1" applyProtection="1">
      <alignment horizontal="center" vertical="center"/>
    </xf>
    <xf numFmtId="0" fontId="13" fillId="0" borderId="0" xfId="0" applyFont="1" applyFill="1" applyAlignment="1" applyProtection="1">
      <alignment horizontal="center" vertical="center"/>
    </xf>
    <xf numFmtId="0" fontId="0" fillId="0" borderId="25" xfId="0" applyFont="1" applyFill="1" applyBorder="1" applyAlignment="1" applyProtection="1">
      <alignment horizontal="center" vertical="center"/>
    </xf>
    <xf numFmtId="0" fontId="5" fillId="0" borderId="9" xfId="0" applyFont="1" applyFill="1" applyBorder="1" applyAlignment="1" applyProtection="1">
      <alignment vertical="center"/>
    </xf>
    <xf numFmtId="0" fontId="0" fillId="0" borderId="16" xfId="0" applyFill="1" applyBorder="1" applyAlignment="1" applyProtection="1"/>
    <xf numFmtId="0" fontId="0" fillId="0" borderId="10" xfId="0" applyFill="1" applyBorder="1" applyAlignment="1" applyProtection="1"/>
    <xf numFmtId="0" fontId="0" fillId="0" borderId="10" xfId="0" applyFill="1" applyBorder="1" applyProtection="1"/>
    <xf numFmtId="166" fontId="15" fillId="0" borderId="10" xfId="0" applyNumberFormat="1" applyFont="1" applyFill="1" applyBorder="1" applyAlignment="1" applyProtection="1">
      <alignment horizontal="center" vertical="center"/>
    </xf>
    <xf numFmtId="0" fontId="16" fillId="0" borderId="0" xfId="0" applyFont="1" applyFill="1" applyBorder="1" applyProtection="1"/>
    <xf numFmtId="0" fontId="17" fillId="0" borderId="0" xfId="0" applyFont="1" applyFill="1" applyBorder="1" applyProtection="1"/>
    <xf numFmtId="0" fontId="0" fillId="0" borderId="0" xfId="0" applyFont="1" applyFill="1" applyBorder="1" applyProtection="1"/>
    <xf numFmtId="2" fontId="0" fillId="0" borderId="0" xfId="0" applyNumberFormat="1" applyFont="1" applyFill="1" applyBorder="1" applyAlignment="1" applyProtection="1">
      <alignment horizontal="center"/>
    </xf>
    <xf numFmtId="164" fontId="0" fillId="0" borderId="0" xfId="0" applyNumberFormat="1" applyFont="1" applyFill="1" applyBorder="1" applyAlignment="1" applyProtection="1">
      <alignment horizontal="center"/>
    </xf>
    <xf numFmtId="0" fontId="18" fillId="0" borderId="9" xfId="0" applyFont="1" applyFill="1" applyBorder="1" applyAlignment="1" applyProtection="1">
      <alignment horizontal="left" vertical="center"/>
    </xf>
    <xf numFmtId="0" fontId="13" fillId="0" borderId="10" xfId="0" applyFont="1" applyFill="1" applyBorder="1" applyAlignment="1" applyProtection="1">
      <alignment horizontal="left"/>
    </xf>
    <xf numFmtId="0" fontId="13" fillId="0" borderId="10" xfId="0" applyFont="1" applyFill="1" applyBorder="1" applyProtection="1"/>
    <xf numFmtId="0" fontId="18" fillId="0" borderId="10" xfId="0" applyFont="1" applyFill="1" applyBorder="1" applyAlignment="1" applyProtection="1">
      <alignment horizontal="left" vertical="center"/>
    </xf>
    <xf numFmtId="0" fontId="18" fillId="0" borderId="20" xfId="0" applyFont="1" applyFill="1" applyBorder="1" applyAlignment="1" applyProtection="1">
      <alignment horizontal="left" vertical="center"/>
    </xf>
    <xf numFmtId="0" fontId="18" fillId="0" borderId="21" xfId="0" applyFont="1" applyFill="1" applyBorder="1" applyAlignment="1" applyProtection="1">
      <alignment horizontal="left" vertical="center"/>
    </xf>
    <xf numFmtId="0" fontId="18" fillId="0" borderId="23" xfId="0" applyFont="1" applyFill="1" applyBorder="1" applyAlignment="1" applyProtection="1">
      <alignment horizontal="left" vertical="center"/>
    </xf>
    <xf numFmtId="0" fontId="18" fillId="0" borderId="24" xfId="0" applyFont="1" applyFill="1" applyBorder="1" applyAlignment="1" applyProtection="1">
      <alignment horizontal="left" vertical="center"/>
    </xf>
    <xf numFmtId="0" fontId="19" fillId="0" borderId="10" xfId="0" applyFont="1" applyFill="1" applyBorder="1" applyAlignment="1" applyProtection="1">
      <alignment horizontal="left" vertical="center"/>
    </xf>
    <xf numFmtId="0" fontId="1" fillId="0" borderId="10" xfId="0" applyFont="1" applyFill="1" applyBorder="1" applyAlignment="1" applyProtection="1"/>
    <xf numFmtId="0" fontId="19" fillId="0" borderId="0" xfId="0" applyFont="1" applyFill="1" applyBorder="1" applyAlignment="1" applyProtection="1">
      <alignment horizontal="left" vertical="center"/>
    </xf>
    <xf numFmtId="0" fontId="19" fillId="0" borderId="9" xfId="0" applyFont="1" applyFill="1" applyBorder="1" applyAlignment="1" applyProtection="1">
      <alignment vertical="center"/>
    </xf>
    <xf numFmtId="0" fontId="1" fillId="0" borderId="10" xfId="0" applyFont="1" applyFill="1" applyBorder="1" applyProtection="1"/>
    <xf numFmtId="0" fontId="1" fillId="0" borderId="5" xfId="0" applyFont="1" applyFill="1" applyBorder="1" applyAlignment="1" applyProtection="1">
      <alignment horizontal="center" vertical="center"/>
    </xf>
    <xf numFmtId="172" fontId="1" fillId="0" borderId="11" xfId="0" applyNumberFormat="1" applyFont="1" applyFill="1" applyBorder="1" applyAlignment="1" applyProtection="1">
      <alignment horizontal="center" vertical="top"/>
    </xf>
    <xf numFmtId="0" fontId="1" fillId="0" borderId="10" xfId="0" applyFont="1" applyFill="1" applyBorder="1" applyAlignment="1" applyProtection="1">
      <alignment horizontal="left"/>
    </xf>
    <xf numFmtId="0" fontId="19" fillId="0" borderId="0" xfId="0" applyFont="1" applyFill="1" applyAlignment="1" applyProtection="1">
      <alignment vertical="center"/>
    </xf>
    <xf numFmtId="0" fontId="0" fillId="0" borderId="0" xfId="0" applyFill="1" applyAlignment="1" applyProtection="1"/>
    <xf numFmtId="0" fontId="0" fillId="0" borderId="0" xfId="0" applyFont="1"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27" xfId="0" applyFill="1" applyBorder="1" applyAlignment="1" applyProtection="1">
      <alignment horizontal="center" wrapText="1"/>
    </xf>
    <xf numFmtId="0" fontId="0" fillId="0" borderId="25" xfId="0" applyFill="1" applyBorder="1" applyAlignment="1" applyProtection="1">
      <alignment horizontal="center" vertical="center" wrapText="1"/>
    </xf>
    <xf numFmtId="0" fontId="0" fillId="0" borderId="1" xfId="0" applyNumberFormat="1" applyFill="1" applyBorder="1" applyAlignment="1" applyProtection="1">
      <alignment horizontal="center" vertical="center" wrapText="1"/>
    </xf>
    <xf numFmtId="0" fontId="0" fillId="0" borderId="1" xfId="0" applyFill="1" applyBorder="1" applyAlignment="1" applyProtection="1">
      <alignment horizontal="center" vertical="center" wrapText="1"/>
    </xf>
    <xf numFmtId="16" fontId="0" fillId="0" borderId="1" xfId="0" quotePrefix="1" applyNumberFormat="1" applyFill="1" applyBorder="1" applyAlignment="1" applyProtection="1">
      <alignment horizontal="center" vertical="center" wrapText="1"/>
    </xf>
    <xf numFmtId="0" fontId="0" fillId="0" borderId="27" xfId="0" applyFill="1" applyBorder="1" applyAlignment="1" applyProtection="1">
      <alignment horizontal="center"/>
    </xf>
    <xf numFmtId="0" fontId="0" fillId="0" borderId="27" xfId="0" quotePrefix="1" applyNumberFormat="1" applyFill="1" applyBorder="1" applyAlignment="1" applyProtection="1">
      <alignment horizontal="center"/>
    </xf>
    <xf numFmtId="16" fontId="0" fillId="0" borderId="27" xfId="0" quotePrefix="1" applyNumberFormat="1" applyFill="1" applyBorder="1" applyAlignment="1" applyProtection="1">
      <alignment horizontal="center"/>
    </xf>
    <xf numFmtId="0" fontId="0" fillId="0" borderId="28" xfId="0" applyFill="1" applyBorder="1" applyAlignment="1" applyProtection="1">
      <alignment horizontal="center"/>
    </xf>
    <xf numFmtId="0" fontId="0" fillId="0" borderId="28" xfId="0" quotePrefix="1" applyNumberFormat="1" applyFill="1" applyBorder="1" applyAlignment="1" applyProtection="1">
      <alignment horizontal="center"/>
    </xf>
    <xf numFmtId="0" fontId="0" fillId="0" borderId="28" xfId="0" quotePrefix="1" applyFill="1" applyBorder="1" applyAlignment="1" applyProtection="1">
      <alignment horizontal="center"/>
    </xf>
    <xf numFmtId="16" fontId="0" fillId="0" borderId="28" xfId="0" quotePrefix="1" applyNumberFormat="1" applyFill="1" applyBorder="1" applyAlignment="1" applyProtection="1">
      <alignment horizontal="center"/>
    </xf>
    <xf numFmtId="0" fontId="0" fillId="0" borderId="25" xfId="0" applyFill="1" applyBorder="1" applyAlignment="1" applyProtection="1">
      <alignment horizontal="center"/>
    </xf>
    <xf numFmtId="0" fontId="0" fillId="0" borderId="25" xfId="0" quotePrefix="1" applyNumberFormat="1" applyFill="1" applyBorder="1" applyAlignment="1" applyProtection="1">
      <alignment horizontal="center"/>
    </xf>
    <xf numFmtId="0" fontId="0" fillId="0" borderId="25" xfId="0" quotePrefix="1" applyFill="1" applyBorder="1" applyAlignment="1" applyProtection="1">
      <alignment horizontal="center"/>
    </xf>
    <xf numFmtId="0" fontId="0" fillId="0" borderId="1" xfId="0" applyNumberFormat="1" applyFill="1" applyBorder="1" applyAlignment="1" applyProtection="1">
      <alignment horizontal="center" vertical="center"/>
    </xf>
    <xf numFmtId="0" fontId="0" fillId="0" borderId="1" xfId="0" quotePrefix="1" applyNumberFormat="1" applyFill="1" applyBorder="1" applyAlignment="1" applyProtection="1">
      <alignment horizontal="center" vertical="center"/>
    </xf>
    <xf numFmtId="164" fontId="0" fillId="0" borderId="1" xfId="0" applyNumberFormat="1" applyFill="1" applyBorder="1" applyAlignment="1" applyProtection="1">
      <alignment horizontal="center" vertical="center"/>
    </xf>
    <xf numFmtId="164" fontId="0" fillId="0" borderId="1" xfId="0" quotePrefix="1" applyNumberFormat="1" applyFill="1" applyBorder="1" applyAlignment="1" applyProtection="1">
      <alignment horizontal="center" vertical="center"/>
    </xf>
    <xf numFmtId="0" fontId="0" fillId="0" borderId="25" xfId="0" applyFill="1" applyBorder="1" applyAlignment="1" applyProtection="1">
      <alignment horizontal="center" vertical="center"/>
    </xf>
    <xf numFmtId="0" fontId="0" fillId="3" borderId="0" xfId="0" applyFill="1" applyBorder="1" applyAlignment="1" applyProtection="1"/>
    <xf numFmtId="0" fontId="0" fillId="3" borderId="0" xfId="0" applyFill="1" applyBorder="1" applyAlignment="1"/>
    <xf numFmtId="0" fontId="0" fillId="3" borderId="61" xfId="0" applyFill="1" applyBorder="1" applyProtection="1"/>
    <xf numFmtId="0" fontId="0" fillId="3" borderId="60" xfId="0" applyFill="1" applyBorder="1" applyProtection="1"/>
    <xf numFmtId="0" fontId="9" fillId="3" borderId="60" xfId="0" applyFont="1" applyFill="1" applyBorder="1" applyAlignment="1" applyProtection="1"/>
    <xf numFmtId="0" fontId="0" fillId="3" borderId="62" xfId="0" applyFill="1" applyBorder="1" applyAlignment="1" applyProtection="1"/>
    <xf numFmtId="0" fontId="0" fillId="3" borderId="63" xfId="0" applyFill="1" applyBorder="1" applyAlignment="1" applyProtection="1"/>
    <xf numFmtId="0" fontId="0" fillId="3" borderId="55" xfId="0" applyFill="1" applyBorder="1" applyProtection="1"/>
    <xf numFmtId="167" fontId="7" fillId="0" borderId="0" xfId="0" applyNumberFormat="1" applyFont="1" applyFill="1" applyBorder="1" applyAlignment="1" applyProtection="1">
      <alignment horizontal="center" vertical="center"/>
    </xf>
    <xf numFmtId="0" fontId="0" fillId="0" borderId="46"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0" fontId="0" fillId="0" borderId="48" xfId="0" applyFont="1" applyFill="1" applyBorder="1" applyAlignment="1" applyProtection="1">
      <alignment horizontal="center" vertical="center"/>
    </xf>
    <xf numFmtId="0" fontId="0" fillId="0" borderId="49" xfId="0" applyFont="1" applyFill="1" applyBorder="1" applyAlignment="1" applyProtection="1">
      <alignment horizontal="center" vertical="center"/>
    </xf>
    <xf numFmtId="0" fontId="0" fillId="0" borderId="50" xfId="0" applyFont="1" applyFill="1" applyBorder="1" applyAlignment="1" applyProtection="1">
      <alignment horizontal="center" vertical="center"/>
    </xf>
    <xf numFmtId="0" fontId="7" fillId="0" borderId="70" xfId="0" applyFont="1" applyFill="1" applyBorder="1" applyAlignment="1" applyProtection="1">
      <alignment horizontal="left" vertical="center"/>
    </xf>
    <xf numFmtId="0" fontId="6" fillId="0" borderId="71" xfId="0" applyNumberFormat="1" applyFont="1" applyFill="1" applyBorder="1" applyAlignment="1" applyProtection="1">
      <alignment horizontal="center" vertical="center"/>
    </xf>
    <xf numFmtId="0" fontId="0" fillId="0" borderId="59" xfId="0" applyFill="1" applyBorder="1" applyProtection="1"/>
    <xf numFmtId="0" fontId="7" fillId="0" borderId="70" xfId="0" applyFont="1" applyFill="1" applyBorder="1" applyAlignment="1" applyProtection="1">
      <alignment horizontal="center" vertical="center"/>
    </xf>
    <xf numFmtId="0" fontId="0" fillId="0" borderId="72" xfId="0" applyFont="1" applyFill="1" applyBorder="1" applyAlignment="1" applyProtection="1">
      <alignment horizontal="center" vertical="center"/>
    </xf>
    <xf numFmtId="0" fontId="6" fillId="0" borderId="70" xfId="0" applyNumberFormat="1" applyFont="1" applyFill="1" applyBorder="1" applyAlignment="1" applyProtection="1">
      <alignment horizontal="center" vertical="center"/>
    </xf>
    <xf numFmtId="0" fontId="0" fillId="0" borderId="40" xfId="0" applyFill="1" applyBorder="1" applyAlignment="1" applyProtection="1">
      <alignment horizontal="center"/>
    </xf>
    <xf numFmtId="0" fontId="0" fillId="0" borderId="64" xfId="0" applyFill="1" applyBorder="1" applyProtection="1"/>
    <xf numFmtId="0" fontId="0" fillId="0" borderId="43" xfId="0" applyFont="1" applyFill="1" applyBorder="1" applyAlignment="1" applyProtection="1">
      <alignment horizontal="center" vertical="center"/>
    </xf>
    <xf numFmtId="0" fontId="0" fillId="0" borderId="44" xfId="0" applyFont="1" applyFill="1" applyBorder="1" applyAlignment="1" applyProtection="1">
      <alignment horizontal="center" vertical="center"/>
    </xf>
    <xf numFmtId="0" fontId="0" fillId="0" borderId="73" xfId="0" applyFont="1" applyFill="1" applyBorder="1" applyAlignment="1" applyProtection="1">
      <alignment horizontal="center" vertical="center"/>
    </xf>
    <xf numFmtId="0" fontId="1" fillId="0" borderId="43" xfId="0" applyFont="1" applyFill="1" applyBorder="1" applyAlignment="1" applyProtection="1">
      <alignment horizontal="center"/>
    </xf>
    <xf numFmtId="0" fontId="0" fillId="0" borderId="47" xfId="0" applyFill="1" applyBorder="1" applyProtection="1"/>
    <xf numFmtId="0" fontId="0" fillId="0" borderId="46" xfId="0" applyFill="1" applyBorder="1" applyProtection="1"/>
    <xf numFmtId="0" fontId="1" fillId="0" borderId="47" xfId="0" applyFont="1" applyFill="1" applyBorder="1" applyAlignment="1" applyProtection="1">
      <alignment horizontal="center" vertical="center"/>
    </xf>
    <xf numFmtId="0" fontId="6" fillId="0" borderId="47" xfId="0" applyFont="1" applyFill="1" applyBorder="1" applyAlignment="1" applyProtection="1">
      <alignment horizontal="center"/>
    </xf>
    <xf numFmtId="0" fontId="6" fillId="0" borderId="46" xfId="0" applyFont="1" applyFill="1" applyBorder="1" applyAlignment="1" applyProtection="1">
      <alignment horizontal="center"/>
    </xf>
    <xf numFmtId="0" fontId="1" fillId="0" borderId="46" xfId="0" applyFont="1" applyFill="1" applyBorder="1" applyAlignment="1" applyProtection="1">
      <alignment horizontal="center" vertical="center"/>
    </xf>
    <xf numFmtId="0" fontId="6" fillId="0" borderId="46" xfId="0" applyFont="1" applyFill="1" applyBorder="1" applyAlignment="1" applyProtection="1">
      <alignment horizontal="center" vertical="center"/>
    </xf>
    <xf numFmtId="0" fontId="6" fillId="0" borderId="74" xfId="0" applyFont="1" applyFill="1" applyBorder="1" applyAlignment="1" applyProtection="1">
      <alignment horizontal="center" vertical="center"/>
    </xf>
    <xf numFmtId="0" fontId="6" fillId="0" borderId="46" xfId="0" applyFont="1" applyFill="1" applyBorder="1" applyProtection="1"/>
    <xf numFmtId="0" fontId="1" fillId="0" borderId="46" xfId="0" applyFont="1" applyFill="1" applyBorder="1" applyAlignment="1" applyProtection="1">
      <alignment horizontal="center"/>
    </xf>
    <xf numFmtId="0" fontId="0" fillId="10" borderId="61" xfId="0" applyFill="1" applyBorder="1" applyProtection="1"/>
    <xf numFmtId="0" fontId="0" fillId="10" borderId="74" xfId="0" applyFill="1" applyBorder="1" applyAlignment="1" applyProtection="1">
      <alignment horizontal="center"/>
    </xf>
    <xf numFmtId="0" fontId="0" fillId="10" borderId="60" xfId="0" applyFill="1" applyBorder="1" applyProtection="1"/>
    <xf numFmtId="0" fontId="0" fillId="10" borderId="60" xfId="0" applyFill="1" applyBorder="1" applyAlignment="1" applyProtection="1">
      <alignment vertical="center"/>
    </xf>
    <xf numFmtId="0" fontId="0" fillId="10" borderId="61" xfId="0" applyFill="1" applyBorder="1" applyAlignment="1" applyProtection="1">
      <alignment vertical="center"/>
    </xf>
    <xf numFmtId="0" fontId="4" fillId="0" borderId="16" xfId="0" applyFont="1" applyFill="1" applyBorder="1" applyAlignment="1" applyProtection="1">
      <alignment vertical="center"/>
    </xf>
    <xf numFmtId="0" fontId="22" fillId="3" borderId="0" xfId="1" applyFill="1" applyBorder="1" applyAlignment="1" applyProtection="1">
      <alignment horizontal="center"/>
    </xf>
    <xf numFmtId="0" fontId="0" fillId="11" borderId="0" xfId="0" applyFill="1" applyBorder="1" applyAlignment="1" applyProtection="1"/>
    <xf numFmtId="0" fontId="9" fillId="11" borderId="0" xfId="0" applyFont="1" applyFill="1" applyBorder="1" applyAlignment="1" applyProtection="1"/>
    <xf numFmtId="0" fontId="0" fillId="11" borderId="0" xfId="0" applyFill="1" applyAlignment="1" applyProtection="1"/>
    <xf numFmtId="0" fontId="6" fillId="0" borderId="1" xfId="0" quotePrefix="1" applyFont="1" applyFill="1" applyBorder="1" applyAlignment="1" applyProtection="1">
      <alignment horizontal="center" vertical="center"/>
    </xf>
    <xf numFmtId="0" fontId="9" fillId="10" borderId="61" xfId="0" applyFont="1" applyFill="1" applyBorder="1" applyAlignment="1" applyProtection="1"/>
    <xf numFmtId="0" fontId="0" fillId="11" borderId="60" xfId="0" applyFill="1" applyBorder="1" applyProtection="1"/>
    <xf numFmtId="0" fontId="0" fillId="11" borderId="62" xfId="0" applyFill="1" applyBorder="1" applyProtection="1"/>
    <xf numFmtId="0" fontId="0" fillId="11" borderId="63" xfId="0" applyFill="1" applyBorder="1" applyAlignment="1" applyProtection="1"/>
    <xf numFmtId="0" fontId="0" fillId="11" borderId="61" xfId="0" applyFill="1" applyBorder="1" applyAlignment="1" applyProtection="1"/>
    <xf numFmtId="0" fontId="0" fillId="11" borderId="55" xfId="0" applyFill="1" applyBorder="1" applyAlignment="1" applyProtection="1"/>
    <xf numFmtId="0" fontId="19" fillId="3" borderId="8" xfId="0" applyFont="1" applyFill="1" applyBorder="1" applyAlignment="1" applyProtection="1">
      <alignment horizontal="left" vertical="center"/>
    </xf>
    <xf numFmtId="0" fontId="0" fillId="0" borderId="47" xfId="0" applyNumberFormat="1" applyFill="1" applyBorder="1" applyAlignment="1" applyProtection="1">
      <alignment horizontal="center" vertical="center"/>
    </xf>
    <xf numFmtId="0" fontId="0" fillId="0" borderId="50" xfId="0" applyNumberFormat="1" applyFill="1" applyBorder="1" applyAlignment="1" applyProtection="1">
      <alignment horizontal="center" vertical="center"/>
    </xf>
    <xf numFmtId="0" fontId="0" fillId="0" borderId="42" xfId="0" applyNumberFormat="1" applyFill="1" applyBorder="1" applyAlignment="1" applyProtection="1">
      <alignment horizontal="center" vertical="center"/>
    </xf>
    <xf numFmtId="0" fontId="0" fillId="0" borderId="44" xfId="0" applyNumberFormat="1" applyFill="1" applyBorder="1" applyAlignment="1" applyProtection="1">
      <alignment horizontal="center" vertical="center"/>
    </xf>
    <xf numFmtId="0" fontId="0" fillId="9" borderId="65" xfId="0" quotePrefix="1" applyNumberFormat="1" applyFill="1" applyBorder="1" applyAlignment="1" applyProtection="1">
      <alignment horizontal="center" vertical="center"/>
    </xf>
    <xf numFmtId="0" fontId="1" fillId="0" borderId="10" xfId="0" applyFont="1" applyFill="1" applyBorder="1" applyAlignment="1" applyProtection="1">
      <alignment vertical="center"/>
    </xf>
    <xf numFmtId="0" fontId="1" fillId="0" borderId="0" xfId="0" applyFont="1" applyFill="1" applyBorder="1" applyAlignment="1" applyProtection="1">
      <alignment horizontal="center" vertical="center"/>
    </xf>
    <xf numFmtId="0" fontId="0" fillId="7" borderId="64" xfId="0" applyNumberFormat="1" applyFill="1" applyBorder="1" applyAlignment="1" applyProtection="1">
      <alignment horizontal="center" vertical="center"/>
    </xf>
    <xf numFmtId="0" fontId="0" fillId="7" borderId="65" xfId="0" applyNumberFormat="1" applyFill="1" applyBorder="1" applyAlignment="1" applyProtection="1">
      <alignment horizontal="center" vertical="center"/>
    </xf>
    <xf numFmtId="0" fontId="1" fillId="0" borderId="78" xfId="0" applyFont="1" applyFill="1" applyBorder="1" applyAlignment="1" applyProtection="1">
      <alignment horizontal="center" vertical="center"/>
    </xf>
    <xf numFmtId="0" fontId="1" fillId="0" borderId="79" xfId="0" applyFont="1" applyFill="1" applyBorder="1" applyAlignment="1" applyProtection="1">
      <alignment horizontal="center" vertical="center"/>
    </xf>
    <xf numFmtId="0" fontId="6" fillId="0" borderId="80" xfId="0" applyNumberFormat="1" applyFont="1" applyFill="1" applyBorder="1" applyAlignment="1" applyProtection="1">
      <alignment horizontal="center" vertical="center"/>
    </xf>
    <xf numFmtId="0" fontId="5" fillId="0" borderId="16" xfId="0" applyFont="1" applyFill="1" applyBorder="1" applyAlignment="1" applyProtection="1">
      <alignment vertical="center"/>
    </xf>
    <xf numFmtId="0" fontId="5" fillId="0" borderId="0" xfId="0" applyFont="1" applyFill="1" applyBorder="1" applyAlignment="1" applyProtection="1">
      <alignment vertical="center"/>
    </xf>
    <xf numFmtId="0" fontId="5" fillId="0" borderId="16" xfId="0" quotePrefix="1" applyFont="1" applyFill="1" applyBorder="1" applyAlignment="1" applyProtection="1">
      <alignment horizontal="center" vertical="center"/>
    </xf>
    <xf numFmtId="0" fontId="6" fillId="0" borderId="0" xfId="0" applyFont="1" applyFill="1" applyAlignment="1" applyProtection="1">
      <alignment horizontal="left" vertical="center"/>
    </xf>
    <xf numFmtId="0" fontId="0" fillId="9" borderId="4" xfId="0" quotePrefix="1" applyNumberFormat="1" applyFill="1" applyBorder="1" applyAlignment="1" applyProtection="1">
      <alignment horizontal="center" vertical="center"/>
    </xf>
    <xf numFmtId="0" fontId="0" fillId="4" borderId="49" xfId="0" applyFill="1" applyBorder="1" applyAlignment="1" applyProtection="1">
      <alignment horizontal="center" vertical="center"/>
    </xf>
    <xf numFmtId="0" fontId="0" fillId="0" borderId="49" xfId="0" applyBorder="1" applyAlignment="1">
      <alignment horizontal="center" vertical="center"/>
    </xf>
    <xf numFmtId="0" fontId="0" fillId="2" borderId="49" xfId="0" applyFill="1" applyBorder="1" applyAlignment="1" applyProtection="1">
      <alignment horizontal="center" vertical="center"/>
    </xf>
    <xf numFmtId="0" fontId="0" fillId="5" borderId="49" xfId="0" applyFill="1" applyBorder="1" applyAlignment="1" applyProtection="1">
      <alignment horizontal="center" vertical="center"/>
    </xf>
    <xf numFmtId="0" fontId="0" fillId="6" borderId="49" xfId="0" applyFill="1" applyBorder="1" applyAlignment="1" applyProtection="1">
      <alignment horizontal="center" vertical="center"/>
    </xf>
    <xf numFmtId="0" fontId="0" fillId="7" borderId="49" xfId="0" applyFill="1" applyBorder="1" applyAlignment="1" applyProtection="1">
      <alignment horizontal="center" vertical="center"/>
    </xf>
    <xf numFmtId="0" fontId="0" fillId="0" borderId="86" xfId="0" applyBorder="1" applyAlignment="1">
      <alignment horizontal="center" vertical="center"/>
    </xf>
    <xf numFmtId="0" fontId="0" fillId="0" borderId="66" xfId="0" applyFill="1" applyBorder="1" applyAlignment="1" applyProtection="1">
      <alignment horizontal="center" vertical="center"/>
    </xf>
    <xf numFmtId="0" fontId="0" fillId="0" borderId="89" xfId="0" applyFill="1" applyBorder="1" applyAlignment="1" applyProtection="1">
      <alignment horizontal="center" vertical="center"/>
    </xf>
    <xf numFmtId="0" fontId="6" fillId="0" borderId="90" xfId="0" applyNumberFormat="1" applyFont="1" applyFill="1" applyBorder="1" applyAlignment="1" applyProtection="1">
      <alignment horizontal="center" vertical="center"/>
    </xf>
    <xf numFmtId="0" fontId="0" fillId="0" borderId="4" xfId="0" applyNumberFormat="1" applyFill="1" applyBorder="1" applyAlignment="1" applyProtection="1">
      <alignment horizontal="center" vertical="center"/>
    </xf>
    <xf numFmtId="0" fontId="0" fillId="0" borderId="67" xfId="0" applyNumberFormat="1" applyFill="1" applyBorder="1" applyAlignment="1" applyProtection="1">
      <alignment horizontal="center" vertical="center"/>
    </xf>
    <xf numFmtId="0" fontId="0" fillId="0" borderId="41" xfId="0" applyNumberFormat="1" applyFill="1" applyBorder="1" applyAlignment="1" applyProtection="1">
      <alignment horizontal="center" vertical="center"/>
    </xf>
    <xf numFmtId="0" fontId="0" fillId="0" borderId="35" xfId="0" applyNumberFormat="1" applyFill="1" applyBorder="1" applyAlignment="1" applyProtection="1">
      <alignment horizontal="center" vertical="center"/>
    </xf>
    <xf numFmtId="0" fontId="6" fillId="0" borderId="91" xfId="0" applyNumberFormat="1" applyFont="1" applyFill="1" applyBorder="1" applyAlignment="1" applyProtection="1">
      <alignment horizontal="center" vertical="center"/>
    </xf>
    <xf numFmtId="0" fontId="0" fillId="8" borderId="45" xfId="0" applyFill="1" applyBorder="1" applyAlignment="1" applyProtection="1">
      <alignment horizontal="center" vertical="center"/>
    </xf>
    <xf numFmtId="0" fontId="0" fillId="8" borderId="46" xfId="0" applyFill="1" applyBorder="1" applyAlignment="1" applyProtection="1">
      <alignment horizontal="center" vertical="center"/>
    </xf>
    <xf numFmtId="0" fontId="0" fillId="8" borderId="43" xfId="0" applyFill="1" applyBorder="1" applyAlignment="1" applyProtection="1">
      <alignment horizontal="center" vertical="center"/>
    </xf>
    <xf numFmtId="0" fontId="0" fillId="0" borderId="46" xfId="0" applyNumberFormat="1" applyFill="1" applyBorder="1" applyAlignment="1" applyProtection="1">
      <alignment horizontal="center" vertical="center"/>
    </xf>
    <xf numFmtId="0" fontId="0" fillId="0" borderId="48" xfId="0" applyNumberFormat="1" applyFill="1" applyBorder="1" applyAlignment="1" applyProtection="1">
      <alignment horizontal="center" vertical="center"/>
    </xf>
    <xf numFmtId="0" fontId="0" fillId="0" borderId="45" xfId="0" applyNumberFormat="1" applyFill="1" applyBorder="1" applyAlignment="1" applyProtection="1">
      <alignment horizontal="center" vertical="center"/>
    </xf>
    <xf numFmtId="0" fontId="0" fillId="0" borderId="43" xfId="0" applyNumberFormat="1" applyFill="1" applyBorder="1" applyAlignment="1" applyProtection="1">
      <alignment horizontal="center" vertical="center"/>
    </xf>
    <xf numFmtId="0" fontId="6" fillId="0" borderId="93" xfId="0" applyNumberFormat="1" applyFont="1" applyFill="1" applyBorder="1" applyAlignment="1" applyProtection="1">
      <alignment horizontal="center" vertical="center"/>
    </xf>
    <xf numFmtId="0" fontId="0" fillId="8" borderId="89" xfId="0" quotePrefix="1" applyNumberFormat="1" applyFill="1" applyBorder="1" applyAlignment="1" applyProtection="1">
      <alignment horizontal="center" vertical="center"/>
    </xf>
    <xf numFmtId="0" fontId="0" fillId="8" borderId="2" xfId="0" quotePrefix="1" applyNumberFormat="1" applyFill="1" applyBorder="1" applyAlignment="1" applyProtection="1">
      <alignment horizontal="center" vertical="center"/>
    </xf>
    <xf numFmtId="0" fontId="0" fillId="8" borderId="30" xfId="0" quotePrefix="1" applyNumberFormat="1" applyFill="1" applyBorder="1" applyAlignment="1" applyProtection="1">
      <alignment horizontal="center" vertical="center"/>
    </xf>
    <xf numFmtId="0" fontId="0" fillId="0" borderId="2" xfId="0" applyNumberFormat="1" applyFill="1" applyBorder="1" applyAlignment="1" applyProtection="1">
      <alignment horizontal="center" vertical="center"/>
    </xf>
    <xf numFmtId="0" fontId="0" fillId="0" borderId="66" xfId="0" applyNumberFormat="1" applyFill="1" applyBorder="1" applyAlignment="1" applyProtection="1">
      <alignment horizontal="center" vertical="center"/>
    </xf>
    <xf numFmtId="0" fontId="0" fillId="0" borderId="89" xfId="0" applyNumberFormat="1" applyFill="1" applyBorder="1" applyAlignment="1" applyProtection="1">
      <alignment horizontal="center" vertical="center"/>
    </xf>
    <xf numFmtId="0" fontId="0" fillId="0" borderId="30" xfId="0" applyNumberFormat="1" applyFill="1" applyBorder="1" applyAlignment="1" applyProtection="1">
      <alignment horizontal="center" vertical="center"/>
    </xf>
    <xf numFmtId="0" fontId="0" fillId="8" borderId="2" xfId="0" applyNumberFormat="1" applyFill="1" applyBorder="1" applyAlignment="1" applyProtection="1">
      <alignment horizontal="center" vertical="center"/>
    </xf>
    <xf numFmtId="0" fontId="0" fillId="4" borderId="89" xfId="0" applyNumberFormat="1" applyFill="1" applyBorder="1" applyAlignment="1" applyProtection="1">
      <alignment horizontal="center" vertical="center"/>
    </xf>
    <xf numFmtId="0" fontId="0" fillId="4" borderId="2" xfId="0" applyNumberFormat="1" applyFill="1" applyBorder="1" applyAlignment="1" applyProtection="1">
      <alignment horizontal="center" vertical="center"/>
    </xf>
    <xf numFmtId="0" fontId="0" fillId="2" borderId="2" xfId="0" applyNumberFormat="1" applyFill="1" applyBorder="1" applyAlignment="1" applyProtection="1">
      <alignment horizontal="center" vertical="center"/>
    </xf>
    <xf numFmtId="0" fontId="0" fillId="4" borderId="45" xfId="0" applyNumberFormat="1" applyFill="1" applyBorder="1" applyAlignment="1" applyProtection="1">
      <alignment horizontal="center" vertical="center"/>
    </xf>
    <xf numFmtId="0" fontId="0" fillId="4" borderId="42" xfId="0" applyNumberFormat="1" applyFill="1" applyBorder="1" applyAlignment="1" applyProtection="1">
      <alignment horizontal="center" vertical="center"/>
    </xf>
    <xf numFmtId="0" fontId="0" fillId="4" borderId="46" xfId="0" applyNumberFormat="1" applyFill="1" applyBorder="1" applyAlignment="1" applyProtection="1">
      <alignment horizontal="center" vertical="center"/>
    </xf>
    <xf numFmtId="0" fontId="0" fillId="4" borderId="47" xfId="0" applyNumberFormat="1" applyFill="1" applyBorder="1" applyAlignment="1" applyProtection="1">
      <alignment horizontal="center" vertical="center"/>
    </xf>
    <xf numFmtId="0" fontId="0" fillId="2" borderId="46" xfId="0" applyNumberFormat="1" applyFill="1" applyBorder="1" applyAlignment="1" applyProtection="1">
      <alignment horizontal="center" vertical="center"/>
    </xf>
    <xf numFmtId="0" fontId="0" fillId="2" borderId="47" xfId="0" applyNumberFormat="1" applyFill="1" applyBorder="1" applyAlignment="1" applyProtection="1">
      <alignment horizontal="center" vertical="center"/>
    </xf>
    <xf numFmtId="0" fontId="0" fillId="5" borderId="46" xfId="0" applyNumberFormat="1" applyFill="1" applyBorder="1" applyAlignment="1" applyProtection="1">
      <alignment horizontal="center" vertical="center"/>
    </xf>
    <xf numFmtId="0" fontId="0" fillId="5" borderId="47" xfId="0" applyNumberFormat="1" applyFill="1" applyBorder="1" applyAlignment="1" applyProtection="1">
      <alignment horizontal="center" vertical="center"/>
    </xf>
    <xf numFmtId="0" fontId="0" fillId="5" borderId="2" xfId="0" applyNumberFormat="1" applyFill="1" applyBorder="1" applyAlignment="1" applyProtection="1">
      <alignment horizontal="center" vertical="center"/>
    </xf>
    <xf numFmtId="0" fontId="0" fillId="6" borderId="2" xfId="0" applyNumberFormat="1" applyFill="1" applyBorder="1" applyAlignment="1" applyProtection="1">
      <alignment horizontal="center" vertical="center"/>
    </xf>
    <xf numFmtId="0" fontId="0" fillId="2" borderId="89" xfId="0" applyNumberFormat="1" applyFill="1" applyBorder="1" applyAlignment="1" applyProtection="1">
      <alignment horizontal="center" vertical="center"/>
    </xf>
    <xf numFmtId="0" fontId="0" fillId="7" borderId="4" xfId="0" applyNumberFormat="1" applyFill="1" applyBorder="1" applyAlignment="1" applyProtection="1">
      <alignment horizontal="center" vertical="center"/>
    </xf>
    <xf numFmtId="0" fontId="0" fillId="4" borderId="43" xfId="0" applyNumberFormat="1" applyFill="1" applyBorder="1" applyAlignment="1" applyProtection="1">
      <alignment horizontal="center" vertical="center"/>
    </xf>
    <xf numFmtId="0" fontId="0" fillId="4" borderId="44" xfId="0" applyNumberFormat="1" applyFill="1" applyBorder="1" applyAlignment="1" applyProtection="1">
      <alignment horizontal="center" vertical="center"/>
    </xf>
    <xf numFmtId="0" fontId="0" fillId="6" borderId="46" xfId="0" applyNumberFormat="1" applyFill="1" applyBorder="1" applyAlignment="1" applyProtection="1">
      <alignment horizontal="center" vertical="center"/>
    </xf>
    <xf numFmtId="0" fontId="0" fillId="6" borderId="47" xfId="0" applyNumberFormat="1" applyFill="1" applyBorder="1" applyAlignment="1" applyProtection="1">
      <alignment horizontal="center" vertical="center"/>
    </xf>
    <xf numFmtId="0" fontId="0" fillId="2" borderId="45" xfId="0" applyNumberFormat="1" applyFill="1" applyBorder="1" applyAlignment="1" applyProtection="1">
      <alignment horizontal="center" vertical="center"/>
    </xf>
    <xf numFmtId="0" fontId="0" fillId="2" borderId="42" xfId="0" applyNumberFormat="1" applyFill="1" applyBorder="1" applyAlignment="1" applyProtection="1">
      <alignment horizontal="center" vertical="center"/>
    </xf>
    <xf numFmtId="0" fontId="0" fillId="7" borderId="46" xfId="0" applyNumberFormat="1" applyFill="1" applyBorder="1" applyAlignment="1" applyProtection="1">
      <alignment horizontal="center" vertical="center"/>
    </xf>
    <xf numFmtId="0" fontId="0" fillId="7" borderId="47" xfId="0" applyNumberFormat="1" applyFill="1" applyBorder="1" applyAlignment="1" applyProtection="1">
      <alignment horizontal="center" vertical="center"/>
    </xf>
    <xf numFmtId="0" fontId="0" fillId="9" borderId="46" xfId="0" quotePrefix="1" applyNumberFormat="1" applyFill="1" applyBorder="1" applyAlignment="1" applyProtection="1">
      <alignment horizontal="center" vertical="center"/>
    </xf>
    <xf numFmtId="0" fontId="0" fillId="9" borderId="47" xfId="0" quotePrefix="1" applyNumberFormat="1" applyFill="1" applyBorder="1" applyAlignment="1" applyProtection="1">
      <alignment horizontal="center" vertical="center"/>
    </xf>
    <xf numFmtId="0" fontId="0" fillId="9" borderId="43" xfId="0" quotePrefix="1" applyNumberFormat="1" applyFill="1" applyBorder="1" applyAlignment="1" applyProtection="1">
      <alignment horizontal="center" vertical="center"/>
    </xf>
    <xf numFmtId="0" fontId="0" fillId="9" borderId="44" xfId="0" quotePrefix="1" applyNumberFormat="1" applyFill="1" applyBorder="1" applyAlignment="1" applyProtection="1">
      <alignment horizontal="center" vertical="center"/>
    </xf>
    <xf numFmtId="0" fontId="0" fillId="9" borderId="2" xfId="0" quotePrefix="1" applyNumberFormat="1" applyFill="1" applyBorder="1" applyAlignment="1" applyProtection="1">
      <alignment horizontal="center" vertical="center"/>
    </xf>
    <xf numFmtId="0" fontId="0" fillId="9" borderId="30" xfId="0" quotePrefix="1" applyNumberFormat="1" applyFill="1" applyBorder="1" applyAlignment="1" applyProtection="1">
      <alignment horizontal="center" vertical="center"/>
    </xf>
    <xf numFmtId="0" fontId="0" fillId="7" borderId="41" xfId="0" applyNumberFormat="1" applyFill="1" applyBorder="1" applyAlignment="1" applyProtection="1">
      <alignment horizontal="center" vertical="center"/>
    </xf>
    <xf numFmtId="0" fontId="0" fillId="5" borderId="45" xfId="0" applyNumberFormat="1" applyFill="1" applyBorder="1" applyAlignment="1" applyProtection="1">
      <alignment horizontal="center" vertical="center"/>
    </xf>
    <xf numFmtId="0" fontId="0" fillId="5" borderId="42" xfId="0" applyNumberFormat="1" applyFill="1" applyBorder="1" applyAlignment="1" applyProtection="1">
      <alignment horizontal="center" vertical="center"/>
    </xf>
    <xf numFmtId="0" fontId="0" fillId="6" borderId="45" xfId="0" applyNumberFormat="1" applyFill="1" applyBorder="1" applyAlignment="1" applyProtection="1">
      <alignment horizontal="center" vertical="center"/>
    </xf>
    <xf numFmtId="0" fontId="0" fillId="6" borderId="42" xfId="0" applyNumberFormat="1" applyFill="1" applyBorder="1" applyAlignment="1" applyProtection="1">
      <alignment horizontal="center" vertical="center"/>
    </xf>
    <xf numFmtId="0" fontId="22" fillId="12" borderId="5" xfId="1" applyFill="1" applyBorder="1" applyAlignment="1" applyProtection="1">
      <alignment horizontal="center" vertical="center"/>
    </xf>
    <xf numFmtId="0" fontId="0" fillId="0" borderId="60" xfId="0" applyFill="1" applyBorder="1" applyProtection="1"/>
    <xf numFmtId="0" fontId="24" fillId="0" borderId="60" xfId="0" applyFont="1" applyFill="1" applyBorder="1" applyProtection="1"/>
    <xf numFmtId="0" fontId="24" fillId="0" borderId="0" xfId="0" applyFont="1" applyFill="1" applyAlignment="1" applyProtection="1">
      <alignment horizontal="center" vertical="center"/>
    </xf>
    <xf numFmtId="0" fontId="0" fillId="0" borderId="60" xfId="0" applyBorder="1" applyAlignment="1"/>
    <xf numFmtId="180" fontId="24" fillId="0" borderId="0" xfId="0" applyNumberFormat="1" applyFont="1" applyAlignment="1">
      <alignment horizontal="center" vertical="center"/>
    </xf>
    <xf numFmtId="182" fontId="0" fillId="0" borderId="0" xfId="0" applyNumberFormat="1" applyBorder="1" applyAlignment="1">
      <alignment horizontal="center" vertical="center"/>
    </xf>
    <xf numFmtId="176" fontId="26" fillId="0" borderId="34" xfId="0" applyNumberFormat="1" applyFont="1" applyFill="1" applyBorder="1" applyProtection="1"/>
    <xf numFmtId="0" fontId="26" fillId="0" borderId="34" xfId="0" quotePrefix="1" applyFont="1" applyFill="1" applyBorder="1" applyAlignment="1" applyProtection="1">
      <alignment horizontal="center" vertical="center"/>
    </xf>
    <xf numFmtId="177" fontId="26" fillId="0" borderId="34" xfId="0" applyNumberFormat="1" applyFont="1" applyFill="1" applyBorder="1" applyAlignment="1" applyProtection="1">
      <alignment horizontal="left"/>
    </xf>
    <xf numFmtId="176" fontId="26" fillId="0" borderId="63" xfId="0" applyNumberFormat="1" applyFont="1" applyFill="1" applyBorder="1" applyProtection="1"/>
    <xf numFmtId="0" fontId="26" fillId="0" borderId="63" xfId="0" quotePrefix="1" applyFont="1" applyFill="1" applyBorder="1" applyAlignment="1" applyProtection="1">
      <alignment horizontal="center" vertical="center"/>
    </xf>
    <xf numFmtId="178" fontId="26" fillId="0" borderId="63" xfId="0" applyNumberFormat="1" applyFont="1" applyFill="1" applyBorder="1" applyAlignment="1" applyProtection="1">
      <alignment horizontal="left"/>
    </xf>
    <xf numFmtId="185" fontId="28" fillId="0" borderId="34" xfId="0" applyNumberFormat="1" applyFont="1" applyFill="1" applyBorder="1" applyProtection="1"/>
    <xf numFmtId="184" fontId="28" fillId="0" borderId="34" xfId="0" applyNumberFormat="1" applyFont="1" applyFill="1" applyBorder="1" applyProtection="1"/>
    <xf numFmtId="186" fontId="28" fillId="0" borderId="34" xfId="0" applyNumberFormat="1" applyFont="1" applyFill="1" applyBorder="1" applyAlignment="1" applyProtection="1">
      <alignment horizontal="left"/>
    </xf>
    <xf numFmtId="179" fontId="28" fillId="0" borderId="34" xfId="0" applyNumberFormat="1" applyFont="1" applyFill="1" applyBorder="1" applyProtection="1"/>
    <xf numFmtId="0" fontId="28" fillId="0" borderId="34" xfId="0" applyFont="1" applyFill="1" applyBorder="1" applyProtection="1"/>
    <xf numFmtId="183" fontId="28" fillId="0" borderId="95" xfId="0" applyNumberFormat="1" applyFont="1" applyFill="1" applyBorder="1" applyProtection="1"/>
    <xf numFmtId="181" fontId="28" fillId="0" borderId="95" xfId="0" applyNumberFormat="1" applyFont="1" applyFill="1" applyBorder="1" applyAlignment="1" applyProtection="1">
      <alignment horizontal="right" vertical="center"/>
    </xf>
    <xf numFmtId="0" fontId="30" fillId="0" borderId="95" xfId="0" quotePrefix="1" applyFont="1" applyFill="1" applyBorder="1" applyAlignment="1" applyProtection="1">
      <alignment horizontal="center" vertical="center"/>
    </xf>
    <xf numFmtId="178" fontId="28" fillId="0" borderId="96" xfId="0" applyNumberFormat="1" applyFont="1" applyFill="1" applyBorder="1" applyAlignment="1" applyProtection="1">
      <alignment horizontal="left"/>
    </xf>
    <xf numFmtId="0" fontId="29" fillId="0" borderId="96" xfId="0" applyFont="1" applyFill="1" applyBorder="1" applyProtection="1"/>
    <xf numFmtId="0" fontId="28" fillId="0" borderId="62" xfId="0" applyFont="1" applyFill="1" applyBorder="1" applyAlignment="1" applyProtection="1">
      <alignment horizontal="center" vertical="center"/>
    </xf>
    <xf numFmtId="180" fontId="28" fillId="0" borderId="63" xfId="0" applyNumberFormat="1" applyFont="1" applyFill="1" applyBorder="1" applyAlignment="1" applyProtection="1">
      <alignment horizontal="center" vertical="center"/>
    </xf>
    <xf numFmtId="187" fontId="28" fillId="0" borderId="63" xfId="0" applyNumberFormat="1" applyFont="1" applyFill="1" applyBorder="1" applyAlignment="1" applyProtection="1">
      <alignment horizontal="right" vertical="center"/>
    </xf>
    <xf numFmtId="0" fontId="30" fillId="0" borderId="63" xfId="0" quotePrefix="1" applyFont="1" applyFill="1" applyBorder="1" applyAlignment="1" applyProtection="1">
      <alignment horizontal="center" vertical="center"/>
    </xf>
    <xf numFmtId="178" fontId="28" fillId="0" borderId="63" xfId="0" applyNumberFormat="1" applyFont="1" applyFill="1" applyBorder="1" applyAlignment="1" applyProtection="1">
      <alignment horizontal="left"/>
    </xf>
    <xf numFmtId="188" fontId="28" fillId="0" borderId="63" xfId="0" applyNumberFormat="1" applyFont="1" applyFill="1" applyBorder="1" applyProtection="1"/>
    <xf numFmtId="182" fontId="28" fillId="0" borderId="55" xfId="0" applyNumberFormat="1" applyFont="1" applyFill="1" applyBorder="1" applyAlignment="1" applyProtection="1">
      <alignment horizontal="center" vertical="center"/>
    </xf>
    <xf numFmtId="0" fontId="0" fillId="13" borderId="0" xfId="0" applyFill="1" applyProtection="1"/>
    <xf numFmtId="0" fontId="0" fillId="13" borderId="58" xfId="0" applyFill="1" applyBorder="1" applyProtection="1"/>
    <xf numFmtId="0" fontId="0" fillId="13" borderId="59" xfId="0" applyFill="1" applyBorder="1" applyProtection="1"/>
    <xf numFmtId="0" fontId="0" fillId="13" borderId="54" xfId="0" applyFill="1" applyBorder="1" applyProtection="1"/>
    <xf numFmtId="0" fontId="0" fillId="13" borderId="59" xfId="0" applyFill="1" applyBorder="1" applyAlignment="1" applyProtection="1">
      <alignment vertical="center"/>
    </xf>
    <xf numFmtId="14" fontId="6" fillId="0" borderId="22" xfId="0" quotePrefix="1" applyNumberFormat="1" applyFont="1" applyFill="1" applyBorder="1" applyAlignment="1" applyProtection="1">
      <alignment horizontal="center" vertical="center"/>
      <protection locked="0"/>
    </xf>
    <xf numFmtId="49" fontId="6" fillId="0" borderId="26" xfId="0" quotePrefix="1" applyNumberFormat="1"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32" fillId="2" borderId="5" xfId="1" applyFont="1" applyFill="1" applyBorder="1" applyAlignment="1">
      <alignment horizontal="center" vertical="center" wrapText="1"/>
    </xf>
    <xf numFmtId="0" fontId="0" fillId="0" borderId="0" xfId="0" applyBorder="1" applyProtection="1"/>
    <xf numFmtId="0" fontId="0" fillId="0" borderId="0" xfId="0" applyFill="1" applyBorder="1" applyAlignment="1" applyProtection="1">
      <alignment horizontal="center" vertical="center" wrapText="1"/>
    </xf>
    <xf numFmtId="0" fontId="0" fillId="0" borderId="0" xfId="0" applyNumberFormat="1" applyFill="1" applyBorder="1" applyAlignment="1" applyProtection="1">
      <alignment horizontal="center" vertical="center"/>
    </xf>
    <xf numFmtId="0" fontId="0" fillId="0" borderId="0" xfId="0" quotePrefix="1" applyNumberFormat="1" applyFill="1" applyBorder="1" applyAlignment="1" applyProtection="1">
      <alignment horizontal="center" vertical="center"/>
    </xf>
    <xf numFmtId="164" fontId="0" fillId="0" borderId="0" xfId="0" applyNumberFormat="1" applyFill="1" applyBorder="1" applyAlignment="1" applyProtection="1">
      <alignment horizontal="center" vertical="center"/>
    </xf>
    <xf numFmtId="164" fontId="0" fillId="0" borderId="0" xfId="0" quotePrefix="1" applyNumberFormat="1" applyFill="1" applyBorder="1" applyAlignment="1" applyProtection="1">
      <alignment horizontal="center" vertical="center"/>
    </xf>
    <xf numFmtId="0" fontId="0" fillId="0" borderId="0" xfId="0" applyFill="1" applyBorder="1" applyAlignment="1" applyProtection="1">
      <alignment horizontal="center" vertical="center"/>
      <protection locked="0"/>
    </xf>
    <xf numFmtId="0" fontId="33" fillId="0" borderId="0" xfId="0" applyFont="1" applyFill="1" applyBorder="1" applyAlignment="1" applyProtection="1">
      <alignment horizontal="center" vertical="center"/>
    </xf>
    <xf numFmtId="0" fontId="0" fillId="0" borderId="9" xfId="0" applyFill="1" applyBorder="1" applyAlignment="1" applyProtection="1"/>
    <xf numFmtId="0" fontId="22" fillId="0" borderId="16" xfId="1" applyFill="1" applyBorder="1" applyAlignment="1" applyProtection="1">
      <alignment horizontal="center" vertical="center"/>
      <protection locked="0"/>
    </xf>
    <xf numFmtId="0" fontId="6" fillId="0" borderId="9" xfId="0" applyFont="1" applyFill="1" applyBorder="1" applyAlignment="1" applyProtection="1">
      <alignment horizontal="right" vertical="center" wrapText="1"/>
    </xf>
    <xf numFmtId="0" fontId="19" fillId="0" borderId="16" xfId="0" applyFont="1" applyFill="1" applyBorder="1" applyAlignment="1" applyProtection="1">
      <alignment horizontal="left" vertical="center"/>
    </xf>
    <xf numFmtId="0" fontId="6" fillId="0" borderId="27" xfId="0" applyFont="1" applyFill="1" applyBorder="1" applyAlignment="1" applyProtection="1">
      <alignment horizontal="center" vertical="center"/>
    </xf>
    <xf numFmtId="0" fontId="6" fillId="10" borderId="33" xfId="0" applyFont="1" applyFill="1" applyBorder="1" applyAlignment="1" applyProtection="1">
      <alignment horizontal="center" vertical="center"/>
    </xf>
    <xf numFmtId="0" fontId="6" fillId="10" borderId="0" xfId="0" applyFont="1" applyFill="1" applyBorder="1" applyAlignment="1" applyProtection="1">
      <alignment horizontal="center" vertical="center"/>
    </xf>
    <xf numFmtId="0" fontId="1" fillId="0" borderId="10" xfId="0" applyFont="1" applyFill="1" applyBorder="1" applyAlignment="1" applyProtection="1">
      <alignment horizontal="center" vertical="center"/>
    </xf>
    <xf numFmtId="168" fontId="34" fillId="0" borderId="46" xfId="0" applyNumberFormat="1" applyFont="1" applyFill="1" applyBorder="1" applyAlignment="1" applyProtection="1">
      <alignment horizontal="center" vertical="center"/>
    </xf>
    <xf numFmtId="169" fontId="34" fillId="0" borderId="1" xfId="0" applyNumberFormat="1" applyFont="1" applyFill="1" applyBorder="1" applyAlignment="1" applyProtection="1">
      <alignment horizontal="center" vertical="center"/>
    </xf>
    <xf numFmtId="171" fontId="34" fillId="0" borderId="1" xfId="0" applyNumberFormat="1" applyFont="1" applyFill="1" applyBorder="1" applyAlignment="1" applyProtection="1">
      <alignment horizontal="center" vertical="center"/>
    </xf>
    <xf numFmtId="170" fontId="34" fillId="0" borderId="1" xfId="0" applyNumberFormat="1" applyFont="1" applyFill="1" applyBorder="1" applyAlignment="1" applyProtection="1">
      <alignment horizontal="center" vertical="center"/>
    </xf>
    <xf numFmtId="0" fontId="34" fillId="0" borderId="2" xfId="0" applyFont="1" applyFill="1" applyBorder="1" applyAlignment="1" applyProtection="1">
      <alignment horizontal="right" vertical="center"/>
    </xf>
    <xf numFmtId="0" fontId="34" fillId="0" borderId="4" xfId="0" applyNumberFormat="1" applyFont="1" applyFill="1" applyBorder="1" applyAlignment="1" applyProtection="1">
      <alignment horizontal="left" vertical="center"/>
    </xf>
    <xf numFmtId="0" fontId="34" fillId="0" borderId="65" xfId="0" applyFont="1" applyFill="1" applyBorder="1" applyAlignment="1" applyProtection="1">
      <alignment horizontal="left" vertical="center"/>
    </xf>
    <xf numFmtId="175" fontId="34" fillId="0" borderId="48" xfId="0" applyNumberFormat="1" applyFont="1" applyFill="1" applyBorder="1" applyAlignment="1" applyProtection="1">
      <alignment horizontal="center" vertical="center"/>
    </xf>
    <xf numFmtId="174" fontId="34" fillId="0" borderId="49" xfId="0" applyNumberFormat="1" applyFont="1" applyFill="1" applyBorder="1" applyAlignment="1" applyProtection="1">
      <alignment horizontal="center" vertical="center"/>
    </xf>
    <xf numFmtId="173" fontId="34" fillId="0" borderId="49" xfId="0" applyNumberFormat="1" applyFont="1" applyFill="1" applyBorder="1" applyAlignment="1" applyProtection="1">
      <alignment horizontal="center" vertical="center"/>
    </xf>
    <xf numFmtId="0" fontId="34" fillId="0" borderId="66" xfId="0" applyFont="1" applyFill="1" applyBorder="1" applyAlignment="1" applyProtection="1">
      <alignment horizontal="right" vertical="center"/>
    </xf>
    <xf numFmtId="172" fontId="1" fillId="0" borderId="75" xfId="0" applyNumberFormat="1" applyFont="1" applyFill="1" applyBorder="1" applyAlignment="1" applyProtection="1">
      <alignment horizontal="left" vertical="center"/>
    </xf>
    <xf numFmtId="0" fontId="1" fillId="0" borderId="67" xfId="0" applyFont="1" applyFill="1" applyBorder="1" applyProtection="1"/>
    <xf numFmtId="0" fontId="34" fillId="0" borderId="68" xfId="0" applyFont="1" applyFill="1" applyBorder="1" applyAlignment="1" applyProtection="1">
      <alignment horizontal="left" vertical="center"/>
    </xf>
    <xf numFmtId="0" fontId="0" fillId="3" borderId="60" xfId="0" applyFill="1" applyBorder="1" applyAlignment="1" applyProtection="1">
      <alignment horizontal="center" vertical="center"/>
    </xf>
    <xf numFmtId="0" fontId="0" fillId="3" borderId="60" xfId="0" applyFill="1" applyBorder="1" applyAlignment="1" applyProtection="1"/>
    <xf numFmtId="0" fontId="0" fillId="0" borderId="0" xfId="0" applyFill="1" applyBorder="1" applyAlignment="1" applyProtection="1">
      <alignment horizontal="center" vertical="center"/>
    </xf>
    <xf numFmtId="0" fontId="0" fillId="0" borderId="0" xfId="0" applyBorder="1" applyAlignment="1" applyProtection="1"/>
    <xf numFmtId="0" fontId="0" fillId="0" borderId="0" xfId="0" applyFont="1" applyFill="1" applyBorder="1" applyAlignment="1" applyProtection="1">
      <alignment horizontal="center" vertical="center"/>
    </xf>
    <xf numFmtId="0" fontId="19" fillId="0" borderId="9" xfId="0" applyFont="1" applyFill="1" applyBorder="1" applyAlignment="1" applyProtection="1">
      <alignment horizontal="left" vertical="center"/>
    </xf>
    <xf numFmtId="0" fontId="0" fillId="0" borderId="10" xfId="0" applyBorder="1" applyAlignment="1"/>
    <xf numFmtId="0" fontId="0" fillId="0" borderId="0" xfId="0" applyBorder="1" applyAlignment="1">
      <alignment horizontal="center" vertical="center"/>
    </xf>
    <xf numFmtId="0" fontId="0" fillId="0" borderId="2" xfId="0" applyFill="1" applyBorder="1" applyAlignment="1" applyProtection="1">
      <alignment horizontal="center" vertical="center"/>
    </xf>
    <xf numFmtId="0" fontId="0" fillId="0" borderId="1" xfId="0" applyFill="1" applyBorder="1" applyAlignment="1" applyProtection="1">
      <alignment horizontal="center"/>
    </xf>
    <xf numFmtId="0" fontId="0" fillId="0" borderId="30" xfId="0" applyFill="1" applyBorder="1" applyAlignment="1" applyProtection="1">
      <alignment horizontal="center" vertical="center"/>
    </xf>
    <xf numFmtId="0" fontId="0" fillId="0" borderId="27" xfId="0" applyFont="1" applyFill="1" applyBorder="1" applyAlignment="1" applyProtection="1">
      <alignment horizontal="center" vertical="center"/>
    </xf>
    <xf numFmtId="0" fontId="14" fillId="0" borderId="9" xfId="0" applyFont="1" applyFill="1" applyBorder="1" applyAlignment="1" applyProtection="1">
      <alignment horizontal="center" vertical="center"/>
      <protection locked="0"/>
    </xf>
    <xf numFmtId="0" fontId="0" fillId="0" borderId="0" xfId="0" applyFill="1" applyBorder="1" applyAlignment="1" applyProtection="1">
      <alignment horizontal="center" vertical="center"/>
    </xf>
    <xf numFmtId="0" fontId="0" fillId="0" borderId="0" xfId="0" applyFill="1" applyBorder="1" applyAlignment="1" applyProtection="1">
      <alignment vertic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1" xfId="0" applyFill="1" applyBorder="1" applyAlignment="1" applyProtection="1">
      <alignment horizontal="center" vertical="center" wrapText="1"/>
    </xf>
    <xf numFmtId="0" fontId="0" fillId="0" borderId="33" xfId="0" applyFill="1" applyBorder="1" applyAlignment="1" applyProtection="1">
      <alignment horizontal="center"/>
    </xf>
    <xf numFmtId="16" fontId="0" fillId="0" borderId="33" xfId="0" quotePrefix="1" applyNumberFormat="1" applyFill="1" applyBorder="1" applyAlignment="1" applyProtection="1">
      <alignment horizontal="center"/>
    </xf>
    <xf numFmtId="0" fontId="0" fillId="0" borderId="0" xfId="0" quotePrefix="1" applyNumberFormat="1" applyFill="1" applyBorder="1" applyAlignment="1" applyProtection="1">
      <alignment horizontal="center"/>
    </xf>
    <xf numFmtId="0" fontId="0" fillId="0" borderId="0" xfId="0" quotePrefix="1" applyFill="1" applyBorder="1" applyAlignment="1" applyProtection="1">
      <alignment horizontal="center"/>
    </xf>
    <xf numFmtId="16" fontId="0" fillId="0" borderId="0" xfId="0" quotePrefix="1" applyNumberFormat="1" applyFill="1" applyBorder="1" applyAlignment="1" applyProtection="1">
      <alignment horizontal="center"/>
    </xf>
    <xf numFmtId="0" fontId="0" fillId="0" borderId="0" xfId="0" applyFill="1" applyBorder="1" applyAlignment="1" applyProtection="1">
      <alignment horizontal="left" vertical="center"/>
    </xf>
    <xf numFmtId="0" fontId="0" fillId="0" borderId="17" xfId="0" quotePrefix="1" applyNumberFormat="1" applyFill="1" applyBorder="1" applyAlignment="1" applyProtection="1">
      <alignment horizontal="center" vertical="center"/>
    </xf>
    <xf numFmtId="164" fontId="0" fillId="0" borderId="17" xfId="0" quotePrefix="1" applyNumberFormat="1" applyFill="1" applyBorder="1" applyAlignment="1" applyProtection="1">
      <alignment horizontal="center" vertical="center"/>
    </xf>
    <xf numFmtId="164" fontId="0" fillId="0" borderId="2" xfId="0" applyNumberFormat="1" applyFill="1" applyBorder="1" applyAlignment="1" applyProtection="1">
      <alignment horizontal="center" vertical="center"/>
    </xf>
    <xf numFmtId="0" fontId="0" fillId="0" borderId="17" xfId="0" applyFill="1" applyBorder="1" applyAlignment="1" applyProtection="1">
      <alignment vertical="center"/>
    </xf>
    <xf numFmtId="0" fontId="0" fillId="0" borderId="17" xfId="0" applyFill="1" applyBorder="1" applyAlignment="1">
      <alignment horizontal="center" vertical="center"/>
    </xf>
    <xf numFmtId="0" fontId="9" fillId="0" borderId="33" xfId="0" applyFont="1" applyFill="1" applyBorder="1" applyAlignment="1"/>
    <xf numFmtId="0" fontId="9" fillId="0" borderId="0" xfId="0" applyFont="1" applyFill="1" applyBorder="1" applyAlignment="1"/>
    <xf numFmtId="0" fontId="9" fillId="0" borderId="0" xfId="0" applyFont="1" applyFill="1" applyBorder="1" applyAlignment="1" applyProtection="1">
      <alignment horizontal="left" vertical="center"/>
    </xf>
    <xf numFmtId="0" fontId="9" fillId="0" borderId="33" xfId="0" applyFont="1" applyFill="1" applyBorder="1" applyAlignment="1" applyProtection="1">
      <alignment horizontal="left" vertical="center"/>
    </xf>
    <xf numFmtId="0" fontId="1" fillId="0" borderId="0" xfId="0" applyFont="1" applyProtection="1"/>
    <xf numFmtId="17" fontId="1" fillId="0" borderId="0" xfId="2" quotePrefix="1" applyNumberFormat="1" applyFont="1" applyProtection="1"/>
    <xf numFmtId="0" fontId="22" fillId="0" borderId="0" xfId="1" applyProtection="1"/>
    <xf numFmtId="0" fontId="34" fillId="0" borderId="10" xfId="0" applyFont="1" applyFill="1" applyBorder="1" applyAlignment="1" applyProtection="1">
      <alignment horizontal="right" vertical="center" wrapText="1"/>
    </xf>
    <xf numFmtId="190" fontId="18" fillId="0" borderId="9" xfId="0" applyNumberFormat="1" applyFont="1" applyFill="1" applyBorder="1" applyAlignment="1" applyProtection="1">
      <alignment horizontal="left" vertical="center"/>
    </xf>
    <xf numFmtId="189" fontId="39" fillId="0" borderId="10" xfId="0" applyNumberFormat="1" applyFont="1" applyBorder="1" applyAlignment="1">
      <alignment horizontal="centerContinuous" vertical="center" wrapText="1"/>
    </xf>
    <xf numFmtId="0" fontId="5" fillId="0" borderId="7" xfId="0" applyFont="1" applyFill="1" applyBorder="1" applyAlignment="1" applyProtection="1">
      <alignment horizontal="center" vertical="center"/>
    </xf>
    <xf numFmtId="0" fontId="5" fillId="0" borderId="11" xfId="0" applyFont="1" applyFill="1" applyBorder="1" applyAlignment="1" applyProtection="1">
      <alignment horizontal="center" vertical="center"/>
    </xf>
    <xf numFmtId="0" fontId="5" fillId="0" borderId="19" xfId="0" applyFont="1" applyFill="1" applyBorder="1" applyAlignment="1" applyProtection="1">
      <alignment horizontal="center" vertical="center"/>
    </xf>
    <xf numFmtId="0" fontId="38" fillId="0" borderId="16" xfId="0" applyFont="1" applyBorder="1" applyAlignment="1" applyProtection="1">
      <alignment horizontal="center" vertical="center" wrapText="1"/>
      <protection locked="0"/>
    </xf>
    <xf numFmtId="0" fontId="9" fillId="0" borderId="10" xfId="0" applyFont="1" applyBorder="1" applyAlignment="1" applyProtection="1">
      <alignment horizontal="center" vertical="center" wrapText="1"/>
      <protection locked="0"/>
    </xf>
    <xf numFmtId="14" fontId="5" fillId="0" borderId="81" xfId="0" applyNumberFormat="1" applyFont="1" applyFill="1" applyBorder="1" applyAlignment="1" applyProtection="1">
      <alignment horizontal="center" vertical="center"/>
    </xf>
    <xf numFmtId="14" fontId="5" fillId="0" borderId="84" xfId="0" applyNumberFormat="1" applyFont="1" applyFill="1" applyBorder="1" applyAlignment="1" applyProtection="1">
      <alignment horizontal="center" vertical="center"/>
    </xf>
    <xf numFmtId="0" fontId="6" fillId="0" borderId="82" xfId="0" applyFont="1" applyBorder="1" applyAlignment="1">
      <alignment horizontal="center" vertical="center"/>
    </xf>
    <xf numFmtId="0" fontId="0" fillId="3" borderId="60" xfId="0" applyFill="1" applyBorder="1" applyAlignment="1" applyProtection="1">
      <alignment horizontal="center" vertical="center"/>
    </xf>
    <xf numFmtId="0" fontId="0" fillId="0" borderId="0" xfId="0" applyFill="1" applyBorder="1" applyAlignment="1" applyProtection="1">
      <alignment horizontal="center" vertical="center"/>
    </xf>
    <xf numFmtId="0" fontId="0" fillId="0" borderId="76" xfId="0" applyFill="1" applyBorder="1" applyAlignment="1" applyProtection="1">
      <alignment horizontal="center" vertical="center"/>
    </xf>
    <xf numFmtId="0" fontId="0" fillId="0" borderId="77" xfId="0" applyBorder="1" applyAlignment="1">
      <alignment horizontal="center" vertical="center"/>
    </xf>
    <xf numFmtId="0" fontId="0" fillId="0" borderId="2" xfId="0" applyFont="1" applyFill="1" applyBorder="1" applyAlignment="1" applyProtection="1">
      <alignment horizontal="center" vertical="center"/>
    </xf>
    <xf numFmtId="0" fontId="0" fillId="0" borderId="3" xfId="0" applyFill="1" applyBorder="1" applyAlignment="1" applyProtection="1">
      <alignment horizontal="center" vertical="center"/>
    </xf>
    <xf numFmtId="0" fontId="0" fillId="0" borderId="65" xfId="0" applyFill="1" applyBorder="1" applyAlignment="1" applyProtection="1">
      <alignment horizontal="center" vertical="center"/>
    </xf>
    <xf numFmtId="0" fontId="21" fillId="0" borderId="39" xfId="0" applyFont="1" applyFill="1" applyBorder="1" applyAlignment="1" applyProtection="1">
      <alignment horizontal="right" vertical="center"/>
    </xf>
    <xf numFmtId="0" fontId="21" fillId="0" borderId="40" xfId="0" applyFont="1" applyBorder="1" applyAlignment="1" applyProtection="1">
      <alignment horizontal="right"/>
    </xf>
    <xf numFmtId="0" fontId="14" fillId="0" borderId="9" xfId="0" applyFont="1" applyFill="1" applyBorder="1" applyAlignment="1" applyProtection="1">
      <alignment horizontal="center" vertical="center"/>
      <protection locked="0"/>
    </xf>
    <xf numFmtId="0" fontId="0" fillId="0" borderId="16" xfId="0" applyBorder="1" applyAlignment="1" applyProtection="1">
      <alignment horizontal="center" vertical="center"/>
      <protection locked="0"/>
    </xf>
    <xf numFmtId="0" fontId="0" fillId="0" borderId="10" xfId="0" applyBorder="1" applyAlignment="1" applyProtection="1">
      <alignment horizontal="center" vertical="center"/>
      <protection locked="0"/>
    </xf>
    <xf numFmtId="37" fontId="14" fillId="0" borderId="9" xfId="2" applyNumberFormat="1" applyFont="1" applyFill="1" applyBorder="1" applyAlignment="1" applyProtection="1">
      <alignment horizontal="center" vertical="center"/>
      <protection locked="0"/>
    </xf>
    <xf numFmtId="37" fontId="0" fillId="0" borderId="16" xfId="2" applyNumberFormat="1" applyFont="1" applyBorder="1" applyAlignment="1" applyProtection="1">
      <alignment horizontal="center" vertical="center"/>
      <protection locked="0"/>
    </xf>
    <xf numFmtId="37" fontId="0" fillId="0" borderId="10" xfId="2" applyNumberFormat="1" applyFont="1" applyBorder="1" applyAlignment="1" applyProtection="1">
      <alignment horizontal="center" vertical="center"/>
      <protection locked="0"/>
    </xf>
    <xf numFmtId="0" fontId="5" fillId="0" borderId="9" xfId="0" applyFont="1" applyFill="1" applyBorder="1" applyAlignment="1" applyProtection="1">
      <alignment horizontal="left" vertical="top" wrapText="1"/>
      <protection locked="0"/>
    </xf>
    <xf numFmtId="0" fontId="6" fillId="0" borderId="16" xfId="0" applyFont="1" applyBorder="1" applyAlignment="1" applyProtection="1">
      <alignment horizontal="left" vertical="top" wrapText="1"/>
      <protection locked="0"/>
    </xf>
    <xf numFmtId="0" fontId="6" fillId="0" borderId="10" xfId="0" applyFont="1" applyBorder="1" applyAlignment="1" applyProtection="1">
      <alignment horizontal="left" vertical="top" wrapText="1"/>
      <protection locked="0"/>
    </xf>
    <xf numFmtId="0" fontId="6" fillId="0" borderId="17" xfId="0" applyFont="1" applyFill="1" applyBorder="1" applyAlignment="1" applyProtection="1">
      <alignment horizontal="center" vertical="center"/>
    </xf>
    <xf numFmtId="0" fontId="6" fillId="0" borderId="0" xfId="0" applyFont="1" applyFill="1" applyBorder="1" applyAlignment="1" applyProtection="1">
      <alignment horizontal="center" vertical="center"/>
    </xf>
    <xf numFmtId="0" fontId="0" fillId="0" borderId="0" xfId="0" applyBorder="1" applyAlignment="1" applyProtection="1"/>
    <xf numFmtId="0" fontId="0" fillId="0" borderId="37" xfId="0" applyBorder="1" applyAlignment="1" applyProtection="1"/>
    <xf numFmtId="49" fontId="6" fillId="0" borderId="22" xfId="0" quotePrefix="1" applyNumberFormat="1" applyFont="1" applyFill="1" applyBorder="1" applyAlignment="1" applyProtection="1">
      <alignment horizontal="center" vertical="center"/>
      <protection locked="0"/>
    </xf>
    <xf numFmtId="49" fontId="6" fillId="0" borderId="85" xfId="0" applyNumberFormat="1" applyFont="1" applyFill="1" applyBorder="1" applyAlignment="1" applyProtection="1">
      <alignment horizontal="center" vertical="center"/>
      <protection locked="0"/>
    </xf>
    <xf numFmtId="49" fontId="0" fillId="0" borderId="83" xfId="0" applyNumberFormat="1" applyFont="1" applyBorder="1" applyAlignment="1" applyProtection="1">
      <alignment horizontal="center" vertical="center"/>
      <protection locked="0"/>
    </xf>
    <xf numFmtId="0" fontId="0" fillId="0" borderId="69" xfId="0" applyFont="1" applyFill="1" applyBorder="1" applyAlignment="1" applyProtection="1">
      <alignment horizontal="center" vertical="center"/>
    </xf>
    <xf numFmtId="0" fontId="0" fillId="8" borderId="66" xfId="0" applyFill="1" applyBorder="1" applyAlignment="1" applyProtection="1">
      <alignment horizontal="center" vertical="center"/>
    </xf>
    <xf numFmtId="0" fontId="0" fillId="0" borderId="67" xfId="0" applyBorder="1" applyAlignment="1">
      <alignment horizontal="center" vertical="center"/>
    </xf>
    <xf numFmtId="0" fontId="0" fillId="9" borderId="66" xfId="0" applyFill="1" applyBorder="1" applyAlignment="1" applyProtection="1">
      <alignment horizontal="center" vertical="center"/>
    </xf>
    <xf numFmtId="0" fontId="0" fillId="0" borderId="92" xfId="0" applyFill="1" applyBorder="1" applyAlignment="1" applyProtection="1">
      <alignment horizontal="center" vertical="center"/>
    </xf>
    <xf numFmtId="0" fontId="0" fillId="0" borderId="75" xfId="0" applyBorder="1" applyAlignment="1">
      <alignment horizontal="center" vertical="center"/>
    </xf>
    <xf numFmtId="0" fontId="0" fillId="0" borderId="68" xfId="0" applyBorder="1" applyAlignment="1">
      <alignment horizontal="center" vertical="center"/>
    </xf>
    <xf numFmtId="0" fontId="40" fillId="3" borderId="7" xfId="0" applyFont="1" applyFill="1" applyBorder="1" applyAlignment="1" applyProtection="1">
      <alignment vertical="top" wrapText="1"/>
    </xf>
    <xf numFmtId="0" fontId="40" fillId="3" borderId="12" xfId="0" applyFont="1" applyFill="1" applyBorder="1" applyAlignment="1" applyProtection="1">
      <alignment vertical="top" wrapText="1"/>
    </xf>
    <xf numFmtId="0" fontId="40" fillId="3" borderId="11" xfId="0" applyFont="1" applyFill="1" applyBorder="1" applyAlignment="1" applyProtection="1">
      <alignment vertical="top" wrapText="1"/>
    </xf>
    <xf numFmtId="0" fontId="22" fillId="3" borderId="14" xfId="1" applyFill="1" applyBorder="1" applyAlignment="1" applyProtection="1">
      <alignment vertical="top"/>
    </xf>
    <xf numFmtId="0" fontId="22" fillId="0" borderId="6" xfId="1" applyBorder="1" applyAlignment="1">
      <alignment vertical="top"/>
    </xf>
    <xf numFmtId="0" fontId="22" fillId="3" borderId="6" xfId="1" applyFill="1" applyBorder="1" applyAlignment="1" applyProtection="1">
      <alignment vertical="top"/>
    </xf>
    <xf numFmtId="0" fontId="22" fillId="0" borderId="15" xfId="1" applyBorder="1" applyAlignment="1">
      <alignment vertical="top"/>
    </xf>
    <xf numFmtId="0" fontId="8" fillId="0" borderId="51" xfId="0" applyFont="1" applyFill="1" applyBorder="1" applyAlignment="1" applyProtection="1">
      <alignment horizontal="center" vertical="center"/>
    </xf>
    <xf numFmtId="0" fontId="8" fillId="0" borderId="52" xfId="0" applyFont="1" applyBorder="1" applyAlignment="1" applyProtection="1">
      <alignment horizontal="center"/>
    </xf>
    <xf numFmtId="0" fontId="8" fillId="0" borderId="53" xfId="0" applyFont="1" applyBorder="1" applyAlignment="1" applyProtection="1">
      <alignment horizontal="center"/>
    </xf>
    <xf numFmtId="0" fontId="0" fillId="0" borderId="75" xfId="0" applyFill="1" applyBorder="1" applyAlignment="1" applyProtection="1">
      <alignment horizontal="center" vertical="center"/>
    </xf>
    <xf numFmtId="0" fontId="0" fillId="0" borderId="92" xfId="0" applyFill="1" applyBorder="1" applyAlignment="1" applyProtection="1">
      <alignment horizontal="center" vertical="center" wrapText="1"/>
    </xf>
    <xf numFmtId="0" fontId="26" fillId="0" borderId="60" xfId="0" applyFont="1" applyFill="1" applyBorder="1" applyAlignment="1" applyProtection="1">
      <alignment horizontal="center" vertical="center"/>
    </xf>
    <xf numFmtId="0" fontId="26" fillId="0" borderId="62" xfId="0" applyFont="1" applyBorder="1" applyAlignment="1">
      <alignment horizontal="center" vertical="center"/>
    </xf>
    <xf numFmtId="182" fontId="26" fillId="0" borderId="0" xfId="0" applyNumberFormat="1" applyFont="1" applyFill="1" applyBorder="1" applyAlignment="1" applyProtection="1">
      <alignment horizontal="center" vertical="center"/>
    </xf>
    <xf numFmtId="182" fontId="26" fillId="0" borderId="61" xfId="0" applyNumberFormat="1" applyFont="1" applyBorder="1" applyAlignment="1"/>
    <xf numFmtId="182" fontId="26" fillId="0" borderId="63" xfId="0" applyNumberFormat="1" applyFont="1" applyBorder="1" applyAlignment="1"/>
    <xf numFmtId="182" fontId="26" fillId="0" borderId="55" xfId="0" applyNumberFormat="1" applyFont="1" applyBorder="1" applyAlignment="1"/>
    <xf numFmtId="0" fontId="6" fillId="0" borderId="9" xfId="0" applyFont="1" applyFill="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3" borderId="60" xfId="0" applyFill="1" applyBorder="1" applyAlignment="1" applyProtection="1"/>
    <xf numFmtId="0" fontId="19" fillId="0" borderId="9" xfId="0" applyFont="1" applyFill="1" applyBorder="1" applyAlignment="1" applyProtection="1">
      <alignment horizontal="left" vertical="center"/>
    </xf>
    <xf numFmtId="0" fontId="0" fillId="0" borderId="10" xfId="0" applyBorder="1" applyAlignment="1"/>
    <xf numFmtId="0" fontId="1" fillId="0" borderId="39" xfId="0" applyFont="1" applyFill="1" applyBorder="1" applyAlignment="1" applyProtection="1">
      <alignment horizontal="center" vertical="center"/>
    </xf>
    <xf numFmtId="0" fontId="1" fillId="0" borderId="40" xfId="0" applyFont="1" applyBorder="1" applyAlignment="1" applyProtection="1">
      <alignment horizontal="center"/>
    </xf>
    <xf numFmtId="0" fontId="1" fillId="0" borderId="64" xfId="0" applyFont="1" applyBorder="1" applyAlignment="1" applyProtection="1">
      <alignment horizontal="center"/>
    </xf>
    <xf numFmtId="2" fontId="6" fillId="0" borderId="9" xfId="0" applyNumberFormat="1" applyFont="1" applyFill="1" applyBorder="1" applyAlignment="1" applyProtection="1">
      <alignment horizontal="center" vertical="center"/>
    </xf>
    <xf numFmtId="2" fontId="0" fillId="0" borderId="16" xfId="0" applyNumberFormat="1" applyBorder="1" applyAlignment="1">
      <alignment horizontal="center" vertical="center"/>
    </xf>
    <xf numFmtId="2" fontId="0" fillId="0" borderId="10" xfId="0" applyNumberFormat="1" applyBorder="1" applyAlignment="1">
      <alignment horizontal="center" vertical="center"/>
    </xf>
    <xf numFmtId="164" fontId="6" fillId="0" borderId="9" xfId="0" applyNumberFormat="1" applyFont="1" applyFill="1" applyBorder="1" applyAlignment="1" applyProtection="1">
      <alignment horizontal="center" vertical="center"/>
    </xf>
    <xf numFmtId="172" fontId="20" fillId="0" borderId="9" xfId="0" applyNumberFormat="1" applyFont="1" applyFill="1" applyBorder="1" applyAlignment="1" applyProtection="1">
      <alignment horizontal="center" vertical="center"/>
    </xf>
    <xf numFmtId="0" fontId="25" fillId="0" borderId="51" xfId="0" applyFont="1" applyFill="1" applyBorder="1" applyAlignment="1" applyProtection="1">
      <alignment horizontal="center" vertical="center"/>
    </xf>
    <xf numFmtId="0" fontId="25" fillId="0" borderId="52" xfId="0" applyFont="1" applyBorder="1" applyAlignment="1">
      <alignment horizontal="center" vertical="center"/>
    </xf>
    <xf numFmtId="0" fontId="25" fillId="0" borderId="53" xfId="0" applyFont="1" applyBorder="1" applyAlignment="1">
      <alignment horizontal="center" vertical="center"/>
    </xf>
    <xf numFmtId="165" fontId="5" fillId="0" borderId="9" xfId="0" applyNumberFormat="1" applyFont="1" applyFill="1" applyBorder="1" applyAlignment="1" applyProtection="1">
      <alignment horizontal="center" vertical="center"/>
    </xf>
    <xf numFmtId="0" fontId="27" fillId="0" borderId="51" xfId="0" applyFont="1" applyFill="1" applyBorder="1" applyAlignment="1" applyProtection="1">
      <alignment horizontal="center" vertical="center"/>
    </xf>
    <xf numFmtId="0" fontId="27" fillId="0" borderId="52" xfId="0" applyFont="1" applyBorder="1" applyAlignment="1">
      <alignment horizontal="center" vertical="center"/>
    </xf>
    <xf numFmtId="0" fontId="27" fillId="0" borderId="53" xfId="0" applyFont="1" applyBorder="1" applyAlignment="1">
      <alignment horizontal="center" vertical="center"/>
    </xf>
    <xf numFmtId="0" fontId="31" fillId="3" borderId="12" xfId="0" quotePrefix="1" applyFont="1" applyFill="1" applyBorder="1" applyAlignment="1" applyProtection="1">
      <alignment horizontal="left" vertical="top" wrapText="1"/>
    </xf>
    <xf numFmtId="0" fontId="5" fillId="0" borderId="23" xfId="0" applyNumberFormat="1" applyFont="1" applyFill="1" applyBorder="1" applyAlignment="1" applyProtection="1">
      <alignment horizontal="center" vertical="center"/>
    </xf>
    <xf numFmtId="0" fontId="0" fillId="0" borderId="88" xfId="0" applyBorder="1" applyAlignment="1">
      <alignment horizontal="center" vertical="center"/>
    </xf>
    <xf numFmtId="0" fontId="0" fillId="0" borderId="24" xfId="0" applyBorder="1" applyAlignment="1">
      <alignment horizontal="center" vertical="center"/>
    </xf>
    <xf numFmtId="164" fontId="5" fillId="0" borderId="9" xfId="0" applyNumberFormat="1" applyFont="1" applyFill="1" applyBorder="1" applyAlignment="1" applyProtection="1">
      <alignment horizontal="center" vertical="center"/>
    </xf>
    <xf numFmtId="182" fontId="28" fillId="0" borderId="61" xfId="0" applyNumberFormat="1" applyFont="1" applyFill="1" applyBorder="1" applyAlignment="1" applyProtection="1">
      <alignment horizontal="center" vertical="center"/>
    </xf>
    <xf numFmtId="182" fontId="29" fillId="0" borderId="97" xfId="0" applyNumberFormat="1" applyFont="1" applyBorder="1" applyAlignment="1">
      <alignment horizontal="center" vertical="center"/>
    </xf>
    <xf numFmtId="2" fontId="5" fillId="0" borderId="9" xfId="0" quotePrefix="1" applyNumberFormat="1" applyFont="1" applyFill="1" applyBorder="1" applyAlignment="1" applyProtection="1">
      <alignment horizontal="center" vertical="center"/>
    </xf>
    <xf numFmtId="2" fontId="5" fillId="0" borderId="9" xfId="0" applyNumberFormat="1" applyFont="1" applyFill="1" applyBorder="1" applyAlignment="1" applyProtection="1">
      <alignment horizontal="center" vertical="center"/>
    </xf>
    <xf numFmtId="0" fontId="5" fillId="0" borderId="20" xfId="0" applyNumberFormat="1" applyFont="1" applyFill="1" applyBorder="1" applyAlignment="1" applyProtection="1">
      <alignment horizontal="center" vertical="center"/>
    </xf>
    <xf numFmtId="0" fontId="0" fillId="0" borderId="87" xfId="0" applyBorder="1" applyAlignment="1">
      <alignment horizontal="center" vertical="center"/>
    </xf>
    <xf numFmtId="0" fontId="0" fillId="0" borderId="21" xfId="0" applyBorder="1" applyAlignment="1">
      <alignment horizontal="center" vertical="center"/>
    </xf>
    <xf numFmtId="0" fontId="28" fillId="0" borderId="60" xfId="0" applyFont="1" applyFill="1" applyBorder="1" applyAlignment="1" applyProtection="1">
      <alignment horizontal="center" vertical="center"/>
    </xf>
    <xf numFmtId="0" fontId="29" fillId="0" borderId="94" xfId="0" applyFont="1" applyBorder="1" applyAlignment="1">
      <alignment horizontal="center" vertical="center"/>
    </xf>
    <xf numFmtId="0" fontId="0" fillId="0" borderId="0" xfId="0" applyFont="1" applyFill="1" applyBorder="1" applyAlignment="1" applyProtection="1">
      <alignment horizontal="center" vertical="center"/>
    </xf>
    <xf numFmtId="2" fontId="0" fillId="0" borderId="0" xfId="0" applyNumberFormat="1" applyFont="1" applyFill="1" applyBorder="1" applyAlignment="1" applyProtection="1">
      <alignment horizontal="center" vertical="center"/>
    </xf>
    <xf numFmtId="0" fontId="0" fillId="0" borderId="0" xfId="0" applyBorder="1" applyAlignment="1">
      <alignment horizontal="center" vertical="center"/>
    </xf>
    <xf numFmtId="0" fontId="1" fillId="0" borderId="19" xfId="0" applyFont="1" applyFill="1" applyBorder="1" applyAlignment="1" applyProtection="1">
      <alignment horizontal="center" vertical="center" wrapText="1"/>
    </xf>
    <xf numFmtId="0" fontId="0" fillId="0" borderId="18" xfId="0" applyBorder="1" applyAlignment="1">
      <alignment horizontal="center" vertical="center" wrapText="1"/>
    </xf>
    <xf numFmtId="0" fontId="9" fillId="3" borderId="0" xfId="0" quotePrefix="1" applyFont="1" applyFill="1" applyBorder="1" applyAlignment="1" applyProtection="1">
      <alignment horizontal="left" vertical="top" wrapText="1"/>
    </xf>
    <xf numFmtId="0" fontId="9" fillId="0" borderId="7" xfId="0" applyFont="1" applyFill="1" applyBorder="1" applyAlignment="1" applyProtection="1">
      <alignment horizontal="left" vertical="top"/>
    </xf>
    <xf numFmtId="0" fontId="9" fillId="0" borderId="12" xfId="0" applyFont="1" applyFill="1" applyBorder="1" applyAlignment="1" applyProtection="1">
      <alignment horizontal="left" vertical="top"/>
    </xf>
    <xf numFmtId="0" fontId="9" fillId="0" borderId="12" xfId="0" applyFont="1" applyFill="1" applyBorder="1" applyAlignment="1" applyProtection="1"/>
    <xf numFmtId="0" fontId="9" fillId="0" borderId="11" xfId="0" applyFont="1" applyFill="1" applyBorder="1" applyAlignment="1" applyProtection="1"/>
    <xf numFmtId="164" fontId="0" fillId="0" borderId="0" xfId="0" applyNumberFormat="1" applyFont="1" applyFill="1" applyBorder="1" applyAlignment="1" applyProtection="1">
      <alignment horizontal="center" vertical="center"/>
    </xf>
    <xf numFmtId="0" fontId="9" fillId="0" borderId="8" xfId="0" applyFont="1" applyFill="1" applyBorder="1" applyAlignment="1" applyProtection="1">
      <alignment horizontal="left" vertical="top" wrapText="1"/>
    </xf>
    <xf numFmtId="0" fontId="9" fillId="0" borderId="0" xfId="0" applyFont="1" applyFill="1" applyBorder="1" applyAlignment="1" applyProtection="1">
      <alignment horizontal="left" vertical="top" wrapText="1"/>
    </xf>
    <xf numFmtId="0" fontId="9" fillId="0" borderId="0" xfId="0" applyFont="1" applyFill="1" applyAlignment="1" applyProtection="1">
      <alignment wrapText="1"/>
    </xf>
    <xf numFmtId="0" fontId="9" fillId="0" borderId="13" xfId="0" applyFont="1" applyFill="1" applyBorder="1" applyAlignment="1" applyProtection="1">
      <alignment wrapText="1"/>
    </xf>
    <xf numFmtId="0" fontId="9" fillId="0" borderId="13" xfId="0" applyFont="1" applyFill="1" applyBorder="1" applyAlignment="1" applyProtection="1">
      <alignment horizontal="left" vertical="top" wrapText="1"/>
    </xf>
    <xf numFmtId="0" fontId="9" fillId="0" borderId="14" xfId="0" quotePrefix="1" applyFont="1" applyFill="1" applyBorder="1" applyAlignment="1" applyProtection="1">
      <alignment horizontal="left" vertical="top" wrapText="1"/>
    </xf>
    <xf numFmtId="0" fontId="9" fillId="0" borderId="6" xfId="0" quotePrefix="1" applyFont="1" applyFill="1" applyBorder="1" applyAlignment="1" applyProtection="1">
      <alignment horizontal="left" vertical="top" wrapText="1"/>
    </xf>
    <xf numFmtId="0" fontId="9" fillId="0" borderId="15" xfId="0" quotePrefix="1" applyFont="1" applyFill="1" applyBorder="1" applyAlignment="1" applyProtection="1">
      <alignment horizontal="left" vertical="top" wrapText="1"/>
    </xf>
    <xf numFmtId="0" fontId="0" fillId="0" borderId="31" xfId="0" applyFill="1" applyBorder="1" applyAlignment="1" applyProtection="1">
      <alignment horizontal="center" vertical="center"/>
    </xf>
    <xf numFmtId="0" fontId="0" fillId="0" borderId="34" xfId="0" applyBorder="1" applyAlignment="1">
      <alignment horizontal="center" vertical="center"/>
    </xf>
    <xf numFmtId="0" fontId="0" fillId="0" borderId="32" xfId="0" applyBorder="1" applyAlignment="1">
      <alignment horizontal="center" vertical="center"/>
    </xf>
    <xf numFmtId="0" fontId="0" fillId="0" borderId="2" xfId="0" applyFill="1" applyBorder="1" applyAlignment="1" applyProtection="1">
      <alignment horizontal="center" vertical="center"/>
    </xf>
    <xf numFmtId="0" fontId="0" fillId="0" borderId="3" xfId="0" applyBorder="1" applyAlignment="1">
      <alignment horizontal="center" vertical="center"/>
    </xf>
    <xf numFmtId="0" fontId="0" fillId="0" borderId="4" xfId="0" applyBorder="1" applyAlignment="1">
      <alignment horizontal="center" vertical="center"/>
    </xf>
    <xf numFmtId="0" fontId="9" fillId="0" borderId="0" xfId="0" applyFont="1" applyFill="1" applyBorder="1" applyAlignment="1" applyProtection="1">
      <alignment horizontal="left" vertical="center" wrapText="1"/>
    </xf>
    <xf numFmtId="0" fontId="9" fillId="0" borderId="0" xfId="0" applyFont="1" applyFill="1" applyBorder="1" applyAlignment="1">
      <alignment wrapText="1"/>
    </xf>
    <xf numFmtId="0" fontId="0" fillId="0" borderId="30" xfId="0" applyFill="1" applyBorder="1" applyAlignment="1" applyProtection="1">
      <alignment horizontal="center" vertical="center"/>
    </xf>
    <xf numFmtId="0" fontId="0" fillId="0" borderId="33" xfId="0" applyBorder="1" applyAlignment="1">
      <alignment vertical="center"/>
    </xf>
    <xf numFmtId="0" fontId="0" fillId="0" borderId="35" xfId="0" applyBorder="1" applyAlignment="1">
      <alignment vertical="center"/>
    </xf>
    <xf numFmtId="0" fontId="0" fillId="0" borderId="3" xfId="0" applyFill="1" applyBorder="1" applyAlignment="1" applyProtection="1">
      <alignment vertical="center"/>
    </xf>
    <xf numFmtId="0" fontId="0" fillId="0" borderId="4" xfId="0" applyFill="1" applyBorder="1" applyAlignment="1" applyProtection="1">
      <alignment vertical="center"/>
    </xf>
    <xf numFmtId="0" fontId="0" fillId="0" borderId="0" xfId="0" applyFill="1" applyBorder="1" applyAlignment="1" applyProtection="1">
      <alignment vertical="center"/>
    </xf>
    <xf numFmtId="0" fontId="0" fillId="0" borderId="1" xfId="0" applyFill="1" applyBorder="1" applyAlignment="1" applyProtection="1">
      <alignment horizontal="center"/>
    </xf>
    <xf numFmtId="0" fontId="0" fillId="0" borderId="0" xfId="0" applyFill="1" applyBorder="1" applyAlignment="1" applyProtection="1">
      <alignment horizontal="center" vertical="center" wrapText="1"/>
    </xf>
    <xf numFmtId="0" fontId="0" fillId="0" borderId="0" xfId="0" applyFill="1" applyBorder="1" applyAlignment="1">
      <alignment horizontal="center" vertical="center"/>
    </xf>
    <xf numFmtId="0" fontId="0" fillId="0" borderId="0" xfId="0" applyFill="1" applyBorder="1" applyAlignment="1">
      <alignment horizontal="center" vertical="center" wrapText="1"/>
    </xf>
    <xf numFmtId="0" fontId="0" fillId="0" borderId="1" xfId="0" applyFill="1" applyBorder="1" applyAlignment="1" applyProtection="1">
      <alignment horizontal="center" vertical="center" wrapText="1"/>
    </xf>
    <xf numFmtId="0" fontId="0" fillId="0" borderId="0" xfId="0" applyBorder="1" applyAlignment="1" applyProtection="1">
      <alignment horizontal="center" vertical="center"/>
    </xf>
    <xf numFmtId="0" fontId="9" fillId="0" borderId="31" xfId="0" applyFont="1" applyFill="1" applyBorder="1" applyAlignment="1" applyProtection="1">
      <alignment horizontal="left" vertical="center" wrapText="1"/>
    </xf>
    <xf numFmtId="0" fontId="9" fillId="0" borderId="34" xfId="0" applyFont="1" applyFill="1" applyBorder="1" applyAlignment="1" applyProtection="1">
      <alignment horizontal="left" vertical="center" wrapText="1"/>
    </xf>
    <xf numFmtId="0" fontId="9" fillId="0" borderId="32" xfId="0" applyFont="1" applyFill="1" applyBorder="1" applyAlignment="1" applyProtection="1">
      <alignment horizontal="left" vertical="center" wrapText="1"/>
    </xf>
    <xf numFmtId="0" fontId="0" fillId="0" borderId="33" xfId="0" applyFill="1" applyBorder="1" applyAlignment="1" applyProtection="1">
      <alignment vertical="center"/>
    </xf>
    <xf numFmtId="0" fontId="0" fillId="0" borderId="35" xfId="0" applyFill="1" applyBorder="1" applyAlignment="1" applyProtection="1">
      <alignment vertical="center"/>
    </xf>
    <xf numFmtId="0" fontId="0" fillId="0" borderId="31" xfId="0" applyFill="1" applyBorder="1" applyAlignment="1" applyProtection="1">
      <alignment horizontal="center" vertical="center" wrapText="1"/>
    </xf>
    <xf numFmtId="0" fontId="0" fillId="0" borderId="34" xfId="0" applyFill="1" applyBorder="1" applyAlignment="1">
      <alignment horizontal="center" vertical="center"/>
    </xf>
    <xf numFmtId="0" fontId="0" fillId="0" borderId="32" xfId="0" applyFill="1" applyBorder="1" applyAlignment="1">
      <alignment horizontal="center" vertical="center"/>
    </xf>
    <xf numFmtId="0" fontId="0" fillId="0" borderId="2" xfId="0" applyFill="1" applyBorder="1" applyAlignment="1" applyProtection="1">
      <alignment horizontal="center" vertical="center" wrapText="1"/>
    </xf>
    <xf numFmtId="0" fontId="0" fillId="0" borderId="3" xfId="0" applyFill="1" applyBorder="1" applyAlignment="1">
      <alignment horizontal="center" vertical="center" wrapText="1"/>
    </xf>
    <xf numFmtId="0" fontId="0" fillId="0" borderId="4" xfId="0" applyFill="1" applyBorder="1" applyAlignment="1">
      <alignment horizontal="center" vertical="center" wrapText="1"/>
    </xf>
    <xf numFmtId="0" fontId="9" fillId="0" borderId="30" xfId="0" applyFont="1" applyFill="1" applyBorder="1" applyAlignment="1" applyProtection="1">
      <alignment horizontal="left" vertical="center" wrapText="1"/>
    </xf>
    <xf numFmtId="0" fontId="9" fillId="0" borderId="33" xfId="0" applyFont="1" applyFill="1" applyBorder="1" applyAlignment="1">
      <alignment wrapText="1"/>
    </xf>
    <xf numFmtId="0" fontId="9" fillId="0" borderId="35" xfId="0" applyFont="1" applyFill="1" applyBorder="1" applyAlignment="1">
      <alignment wrapText="1"/>
    </xf>
    <xf numFmtId="0" fontId="9" fillId="0" borderId="17" xfId="0" applyFont="1" applyFill="1" applyBorder="1" applyAlignment="1" applyProtection="1">
      <alignment horizontal="left" vertical="center" wrapText="1"/>
    </xf>
    <xf numFmtId="0" fontId="9" fillId="0" borderId="37" xfId="0" applyFont="1" applyFill="1" applyBorder="1" applyAlignment="1">
      <alignment wrapText="1"/>
    </xf>
    <xf numFmtId="0" fontId="9" fillId="0" borderId="37" xfId="0" applyFont="1" applyFill="1" applyBorder="1" applyAlignment="1" applyProtection="1">
      <alignment horizontal="left" vertical="center" wrapText="1"/>
    </xf>
    <xf numFmtId="0" fontId="0" fillId="0" borderId="27" xfId="0" applyFont="1" applyFill="1" applyBorder="1" applyAlignment="1" applyProtection="1">
      <alignment horizontal="center" vertical="center"/>
    </xf>
    <xf numFmtId="0" fontId="0" fillId="0" borderId="28" xfId="0" applyBorder="1" applyAlignment="1">
      <alignment horizontal="center" vertical="center"/>
    </xf>
    <xf numFmtId="0" fontId="0" fillId="0" borderId="25" xfId="0" applyBorder="1" applyAlignment="1">
      <alignment horizontal="center" vertical="center"/>
    </xf>
    <xf numFmtId="0" fontId="0" fillId="0" borderId="27" xfId="0" applyFont="1" applyFill="1" applyBorder="1" applyAlignment="1" applyProtection="1">
      <alignment horizontal="center" vertical="center" wrapText="1"/>
    </xf>
    <xf numFmtId="0" fontId="0" fillId="0" borderId="28" xfId="0" applyBorder="1" applyAlignment="1">
      <alignment horizontal="center" vertical="center" wrapText="1"/>
    </xf>
    <xf numFmtId="0" fontId="0" fillId="0" borderId="25" xfId="0" applyBorder="1" applyAlignment="1">
      <alignment horizontal="center" vertical="center" wrapText="1"/>
    </xf>
    <xf numFmtId="0" fontId="0" fillId="0" borderId="30" xfId="0" applyFill="1" applyBorder="1" applyAlignment="1" applyProtection="1">
      <alignment horizontal="center" vertical="center" wrapText="1"/>
    </xf>
    <xf numFmtId="0" fontId="0" fillId="0" borderId="35" xfId="0" applyBorder="1" applyAlignment="1">
      <alignment horizontal="center" vertical="center" wrapText="1"/>
    </xf>
    <xf numFmtId="0" fontId="0" fillId="0" borderId="31" xfId="0" applyBorder="1" applyAlignment="1">
      <alignment horizontal="center" vertical="center" wrapText="1"/>
    </xf>
    <xf numFmtId="0" fontId="0" fillId="0" borderId="32" xfId="0" applyBorder="1" applyAlignment="1">
      <alignment horizontal="center" vertical="center" wrapText="1"/>
    </xf>
    <xf numFmtId="0" fontId="0" fillId="0" borderId="4" xfId="0" applyFill="1" applyBorder="1" applyAlignment="1" applyProtection="1">
      <alignment horizontal="center" vertical="center"/>
    </xf>
  </cellXfs>
  <cellStyles count="3">
    <cellStyle name="Comma" xfId="2" builtinId="3"/>
    <cellStyle name="Hyperlink" xfId="1" builtinId="8"/>
    <cellStyle name="Normal" xfId="0" builtinId="0"/>
  </cellStyles>
  <dxfs count="71">
    <dxf>
      <fill>
        <patternFill>
          <bgColor rgb="FFFFC000"/>
        </patternFill>
      </fill>
    </dxf>
    <dxf>
      <fill>
        <patternFill>
          <bgColor rgb="FFFFC000"/>
        </patternFill>
      </fill>
    </dxf>
    <dxf>
      <fill>
        <patternFill>
          <bgColor rgb="FFFFC000"/>
        </patternFill>
      </fill>
    </dxf>
    <dxf>
      <font>
        <color theme="0"/>
      </font>
    </dxf>
    <dxf>
      <font>
        <color theme="0"/>
      </font>
    </dxf>
    <dxf>
      <fill>
        <patternFill>
          <bgColor rgb="FFFFC000"/>
        </patternFill>
      </fill>
    </dxf>
    <dxf>
      <fill>
        <patternFill>
          <bgColor rgb="FFFFC000"/>
        </patternFill>
      </fill>
    </dxf>
    <dxf>
      <fill>
        <patternFill>
          <bgColor rgb="FFFFC000"/>
        </patternFill>
      </fill>
    </dxf>
    <dxf>
      <fill>
        <patternFill>
          <bgColor rgb="FFFFFF00"/>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
      <font>
        <strike val="0"/>
      </font>
      <fill>
        <patternFill>
          <bgColor theme="5" tint="0.59996337778862885"/>
        </patternFill>
      </fill>
    </dxf>
    <dxf>
      <fill>
        <patternFill patternType="solid">
          <bgColor theme="5" tint="0.59996337778862885"/>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theme="5" tint="0.59996337778862885"/>
        </patternFill>
      </fill>
    </dxf>
    <dxf>
      <fill>
        <patternFill>
          <bgColor rgb="FFFFC000"/>
        </patternFill>
      </fill>
    </dxf>
    <dxf>
      <fill>
        <patternFill>
          <bgColor theme="5" tint="0.59996337778862885"/>
        </patternFill>
      </fill>
    </dxf>
    <dxf>
      <fill>
        <patternFill>
          <bgColor rgb="FFFFC000"/>
        </patternFill>
      </fill>
    </dxf>
    <dxf>
      <fill>
        <patternFill>
          <bgColor theme="5" tint="0.59996337778862885"/>
        </patternFill>
      </fill>
    </dxf>
    <dxf>
      <fill>
        <patternFill>
          <bgColor theme="7" tint="0.79998168889431442"/>
        </patternFill>
      </fill>
    </dxf>
    <dxf>
      <fill>
        <patternFill>
          <bgColor theme="9" tint="0.79998168889431442"/>
        </patternFill>
      </fill>
    </dxf>
  </dxfs>
  <tableStyles count="0" defaultTableStyle="TableStyleMedium2" defaultPivotStyle="PivotStyleLight16"/>
  <colors>
    <mruColors>
      <color rgb="FFFF3399"/>
      <color rgb="FF763A6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jpg"/><Relationship Id="rId7" Type="http://schemas.openxmlformats.org/officeDocument/2006/relationships/image" Target="../media/image7.jpg"/><Relationship Id="rId2" Type="http://schemas.openxmlformats.org/officeDocument/2006/relationships/image" Target="../media/image2.jpg"/><Relationship Id="rId1" Type="http://schemas.openxmlformats.org/officeDocument/2006/relationships/image" Target="../media/image1.emf"/><Relationship Id="rId6" Type="http://schemas.openxmlformats.org/officeDocument/2006/relationships/image" Target="../media/image6.jpg"/><Relationship Id="rId5" Type="http://schemas.openxmlformats.org/officeDocument/2006/relationships/image" Target="../media/image5.jpg"/><Relationship Id="rId10" Type="http://schemas.openxmlformats.org/officeDocument/2006/relationships/image" Target="../media/image10.emf"/><Relationship Id="rId4" Type="http://schemas.openxmlformats.org/officeDocument/2006/relationships/image" Target="../media/image4.jp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1" Type="http://schemas.openxmlformats.org/officeDocument/2006/relationships/image" Target="../media/image15.png"/></Relationships>
</file>

<file path=xl/drawings/_rels/drawing3.xml.rels><?xml version="1.0" encoding="UTF-8" standalone="yes"?>
<Relationships xmlns="http://schemas.openxmlformats.org/package/2006/relationships"><Relationship Id="rId1" Type="http://schemas.openxmlformats.org/officeDocument/2006/relationships/image" Target="../media/image16.emf"/></Relationships>
</file>

<file path=xl/drawings/_rels/drawing4.xml.rels><?xml version="1.0" encoding="UTF-8" standalone="yes"?>
<Relationships xmlns="http://schemas.openxmlformats.org/package/2006/relationships"><Relationship Id="rId1" Type="http://schemas.openxmlformats.org/officeDocument/2006/relationships/image" Target="../media/image16.emf"/></Relationships>
</file>

<file path=xl/drawings/_rels/drawing5.xml.rels><?xml version="1.0" encoding="UTF-8" standalone="yes"?>
<Relationships xmlns="http://schemas.openxmlformats.org/package/2006/relationships"><Relationship Id="rId1" Type="http://schemas.openxmlformats.org/officeDocument/2006/relationships/image" Target="../media/image16.emf"/></Relationships>
</file>

<file path=xl/drawings/_rels/drawing6.xml.rels><?xml version="1.0" encoding="UTF-8" standalone="yes"?>
<Relationships xmlns="http://schemas.openxmlformats.org/package/2006/relationships"><Relationship Id="rId1" Type="http://schemas.openxmlformats.org/officeDocument/2006/relationships/image" Target="../media/image16.emf"/></Relationships>
</file>

<file path=xl/drawings/_rels/drawing7.xml.rels><?xml version="1.0" encoding="UTF-8" standalone="yes"?>
<Relationships xmlns="http://schemas.openxmlformats.org/package/2006/relationships"><Relationship Id="rId1" Type="http://schemas.openxmlformats.org/officeDocument/2006/relationships/image" Target="../media/image16.emf"/></Relationships>
</file>

<file path=xl/drawings/_rels/drawing8.xml.rels><?xml version="1.0" encoding="UTF-8" standalone="yes"?>
<Relationships xmlns="http://schemas.openxmlformats.org/package/2006/relationships"><Relationship Id="rId2" Type="http://schemas.openxmlformats.org/officeDocument/2006/relationships/image" Target="../media/image19.emf"/><Relationship Id="rId1" Type="http://schemas.openxmlformats.org/officeDocument/2006/relationships/image" Target="../media/image18.emf"/></Relationships>
</file>

<file path=xl/drawings/_rels/vmlDrawing1.vml.rels><?xml version="1.0" encoding="UTF-8" standalone="yes"?>
<Relationships xmlns="http://schemas.openxmlformats.org/package/2006/relationships"><Relationship Id="rId3" Type="http://schemas.openxmlformats.org/officeDocument/2006/relationships/image" Target="../media/image13.emf"/><Relationship Id="rId2" Type="http://schemas.openxmlformats.org/officeDocument/2006/relationships/image" Target="../media/image12.emf"/><Relationship Id="rId1" Type="http://schemas.openxmlformats.org/officeDocument/2006/relationships/image" Target="../media/image11.emf"/><Relationship Id="rId4" Type="http://schemas.openxmlformats.org/officeDocument/2006/relationships/image" Target="../media/image14.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17.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17.e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382589</xdr:colOff>
          <xdr:row>31</xdr:row>
          <xdr:rowOff>61911</xdr:rowOff>
        </xdr:from>
        <xdr:to>
          <xdr:col>6</xdr:col>
          <xdr:colOff>700089</xdr:colOff>
          <xdr:row>41</xdr:row>
          <xdr:rowOff>125411</xdr:rowOff>
        </xdr:to>
        <xdr:pic>
          <xdr:nvPicPr>
            <xdr:cNvPr id="2" name="Picture 1" descr="000_0016.jpg">
              <a:extLst>
                <a:ext uri="{FF2B5EF4-FFF2-40B4-BE49-F238E27FC236}">
                  <a16:creationId xmlns:a16="http://schemas.microsoft.com/office/drawing/2014/main" id="{00000000-0008-0000-0000-000002000000}"/>
                </a:ext>
              </a:extLst>
            </xdr:cNvPr>
            <xdr:cNvPicPr>
              <a:picLocks noChangeAspect="1"/>
              <a:extLst>
                <a:ext uri="{84589F7E-364E-4C9E-8A38-B11213B215E9}">
                  <a14:cameraTool cellRange="Picture" spid="_x0000_s35701"/>
                </a:ext>
              </a:extLst>
            </xdr:cNvPicPr>
          </xdr:nvPicPr>
          <xdr:blipFill>
            <a:blip xmlns:r="http://schemas.openxmlformats.org/officeDocument/2006/relationships" r:embed="rId1"/>
            <a:stretch>
              <a:fillRect/>
            </a:stretch>
          </xdr:blipFill>
          <xdr:spPr>
            <a:xfrm>
              <a:off x="560389" y="9777411"/>
              <a:ext cx="8064500" cy="2590800"/>
            </a:xfrm>
            <a:prstGeom prst="rect">
              <a:avLst/>
            </a:prstGeom>
          </xdr:spPr>
        </xdr:pic>
        <xdr:clientData/>
      </xdr:twoCellAnchor>
    </mc:Choice>
    <mc:Fallback/>
  </mc:AlternateContent>
  <xdr:twoCellAnchor>
    <xdr:from>
      <xdr:col>1</xdr:col>
      <xdr:colOff>2100263</xdr:colOff>
      <xdr:row>8</xdr:row>
      <xdr:rowOff>76200</xdr:rowOff>
    </xdr:from>
    <xdr:to>
      <xdr:col>1</xdr:col>
      <xdr:colOff>2319337</xdr:colOff>
      <xdr:row>8</xdr:row>
      <xdr:rowOff>228600</xdr:rowOff>
    </xdr:to>
    <xdr:sp macro="" textlink="">
      <xdr:nvSpPr>
        <xdr:cNvPr id="3" name="Right Arrow 2">
          <a:extLst>
            <a:ext uri="{FF2B5EF4-FFF2-40B4-BE49-F238E27FC236}">
              <a16:creationId xmlns:a16="http://schemas.microsoft.com/office/drawing/2014/main" id="{00000000-0008-0000-0000-000003000000}"/>
            </a:ext>
          </a:extLst>
        </xdr:cNvPr>
        <xdr:cNvSpPr/>
      </xdr:nvSpPr>
      <xdr:spPr>
        <a:xfrm>
          <a:off x="2281238" y="32766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9</xdr:row>
      <xdr:rowOff>76200</xdr:rowOff>
    </xdr:from>
    <xdr:to>
      <xdr:col>1</xdr:col>
      <xdr:colOff>2319337</xdr:colOff>
      <xdr:row>9</xdr:row>
      <xdr:rowOff>228600</xdr:rowOff>
    </xdr:to>
    <xdr:sp macro="" textlink="">
      <xdr:nvSpPr>
        <xdr:cNvPr id="4" name="Right Arrow 3">
          <a:extLst>
            <a:ext uri="{FF2B5EF4-FFF2-40B4-BE49-F238E27FC236}">
              <a16:creationId xmlns:a16="http://schemas.microsoft.com/office/drawing/2014/main" id="{00000000-0008-0000-0000-000004000000}"/>
            </a:ext>
          </a:extLst>
        </xdr:cNvPr>
        <xdr:cNvSpPr/>
      </xdr:nvSpPr>
      <xdr:spPr>
        <a:xfrm>
          <a:off x="2281238" y="35528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10</xdr:row>
      <xdr:rowOff>76200</xdr:rowOff>
    </xdr:from>
    <xdr:to>
      <xdr:col>1</xdr:col>
      <xdr:colOff>2319337</xdr:colOff>
      <xdr:row>10</xdr:row>
      <xdr:rowOff>228600</xdr:rowOff>
    </xdr:to>
    <xdr:sp macro="" textlink="">
      <xdr:nvSpPr>
        <xdr:cNvPr id="5" name="Right Arrow 4">
          <a:extLst>
            <a:ext uri="{FF2B5EF4-FFF2-40B4-BE49-F238E27FC236}">
              <a16:creationId xmlns:a16="http://schemas.microsoft.com/office/drawing/2014/main" id="{00000000-0008-0000-0000-000005000000}"/>
            </a:ext>
          </a:extLst>
        </xdr:cNvPr>
        <xdr:cNvSpPr/>
      </xdr:nvSpPr>
      <xdr:spPr>
        <a:xfrm>
          <a:off x="2281238" y="382905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11</xdr:row>
      <xdr:rowOff>76200</xdr:rowOff>
    </xdr:from>
    <xdr:to>
      <xdr:col>1</xdr:col>
      <xdr:colOff>2319337</xdr:colOff>
      <xdr:row>11</xdr:row>
      <xdr:rowOff>228600</xdr:rowOff>
    </xdr:to>
    <xdr:sp macro="" textlink="">
      <xdr:nvSpPr>
        <xdr:cNvPr id="6" name="Right Arrow 5">
          <a:extLst>
            <a:ext uri="{FF2B5EF4-FFF2-40B4-BE49-F238E27FC236}">
              <a16:creationId xmlns:a16="http://schemas.microsoft.com/office/drawing/2014/main" id="{00000000-0008-0000-0000-000006000000}"/>
            </a:ext>
          </a:extLst>
        </xdr:cNvPr>
        <xdr:cNvSpPr/>
      </xdr:nvSpPr>
      <xdr:spPr>
        <a:xfrm>
          <a:off x="2281238" y="41052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13</xdr:row>
      <xdr:rowOff>76200</xdr:rowOff>
    </xdr:from>
    <xdr:to>
      <xdr:col>1</xdr:col>
      <xdr:colOff>2319337</xdr:colOff>
      <xdr:row>13</xdr:row>
      <xdr:rowOff>228600</xdr:rowOff>
    </xdr:to>
    <xdr:sp macro="" textlink="">
      <xdr:nvSpPr>
        <xdr:cNvPr id="7" name="Right Arrow 6">
          <a:extLst>
            <a:ext uri="{FF2B5EF4-FFF2-40B4-BE49-F238E27FC236}">
              <a16:creationId xmlns:a16="http://schemas.microsoft.com/office/drawing/2014/main" id="{00000000-0008-0000-0000-000007000000}"/>
            </a:ext>
          </a:extLst>
        </xdr:cNvPr>
        <xdr:cNvSpPr/>
      </xdr:nvSpPr>
      <xdr:spPr>
        <a:xfrm>
          <a:off x="2281238" y="4657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15</xdr:row>
      <xdr:rowOff>76200</xdr:rowOff>
    </xdr:from>
    <xdr:to>
      <xdr:col>1</xdr:col>
      <xdr:colOff>2319337</xdr:colOff>
      <xdr:row>15</xdr:row>
      <xdr:rowOff>228600</xdr:rowOff>
    </xdr:to>
    <xdr:sp macro="" textlink="">
      <xdr:nvSpPr>
        <xdr:cNvPr id="8" name="Right Arrow 7">
          <a:extLst>
            <a:ext uri="{FF2B5EF4-FFF2-40B4-BE49-F238E27FC236}">
              <a16:creationId xmlns:a16="http://schemas.microsoft.com/office/drawing/2014/main" id="{00000000-0008-0000-0000-000008000000}"/>
            </a:ext>
          </a:extLst>
        </xdr:cNvPr>
        <xdr:cNvSpPr/>
      </xdr:nvSpPr>
      <xdr:spPr>
        <a:xfrm>
          <a:off x="2281238" y="521017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16</xdr:row>
      <xdr:rowOff>76200</xdr:rowOff>
    </xdr:from>
    <xdr:to>
      <xdr:col>1</xdr:col>
      <xdr:colOff>2319337</xdr:colOff>
      <xdr:row>16</xdr:row>
      <xdr:rowOff>228600</xdr:rowOff>
    </xdr:to>
    <xdr:sp macro="" textlink="">
      <xdr:nvSpPr>
        <xdr:cNvPr id="9" name="Right Arrow 8">
          <a:extLst>
            <a:ext uri="{FF2B5EF4-FFF2-40B4-BE49-F238E27FC236}">
              <a16:creationId xmlns:a16="http://schemas.microsoft.com/office/drawing/2014/main" id="{00000000-0008-0000-0000-000009000000}"/>
            </a:ext>
          </a:extLst>
        </xdr:cNvPr>
        <xdr:cNvSpPr/>
      </xdr:nvSpPr>
      <xdr:spPr>
        <a:xfrm>
          <a:off x="2281238" y="54864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7</xdr:row>
      <xdr:rowOff>85725</xdr:rowOff>
    </xdr:from>
    <xdr:to>
      <xdr:col>1</xdr:col>
      <xdr:colOff>2319337</xdr:colOff>
      <xdr:row>7</xdr:row>
      <xdr:rowOff>238125</xdr:rowOff>
    </xdr:to>
    <xdr:sp macro="" textlink="">
      <xdr:nvSpPr>
        <xdr:cNvPr id="10" name="Right Arrow 9">
          <a:extLst>
            <a:ext uri="{FF2B5EF4-FFF2-40B4-BE49-F238E27FC236}">
              <a16:creationId xmlns:a16="http://schemas.microsoft.com/office/drawing/2014/main" id="{00000000-0008-0000-0000-00000A000000}"/>
            </a:ext>
          </a:extLst>
        </xdr:cNvPr>
        <xdr:cNvSpPr/>
      </xdr:nvSpPr>
      <xdr:spPr>
        <a:xfrm>
          <a:off x="2281238" y="29718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2095500</xdr:colOff>
      <xdr:row>14</xdr:row>
      <xdr:rowOff>53975</xdr:rowOff>
    </xdr:from>
    <xdr:to>
      <xdr:col>1</xdr:col>
      <xdr:colOff>2314574</xdr:colOff>
      <xdr:row>14</xdr:row>
      <xdr:rowOff>206375</xdr:rowOff>
    </xdr:to>
    <xdr:sp macro="" textlink="">
      <xdr:nvSpPr>
        <xdr:cNvPr id="11" name="Right Arrow 10">
          <a:extLst>
            <a:ext uri="{FF2B5EF4-FFF2-40B4-BE49-F238E27FC236}">
              <a16:creationId xmlns:a16="http://schemas.microsoft.com/office/drawing/2014/main" id="{00000000-0008-0000-0000-00000B000000}"/>
            </a:ext>
          </a:extLst>
        </xdr:cNvPr>
        <xdr:cNvSpPr/>
      </xdr:nvSpPr>
      <xdr:spPr>
        <a:xfrm>
          <a:off x="2276475" y="4911725"/>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xdr:col>
      <xdr:colOff>2100263</xdr:colOff>
      <xdr:row>12</xdr:row>
      <xdr:rowOff>76200</xdr:rowOff>
    </xdr:from>
    <xdr:to>
      <xdr:col>1</xdr:col>
      <xdr:colOff>2319337</xdr:colOff>
      <xdr:row>12</xdr:row>
      <xdr:rowOff>228600</xdr:rowOff>
    </xdr:to>
    <xdr:sp macro="" textlink="">
      <xdr:nvSpPr>
        <xdr:cNvPr id="12" name="Right Arrow 11">
          <a:extLst>
            <a:ext uri="{FF2B5EF4-FFF2-40B4-BE49-F238E27FC236}">
              <a16:creationId xmlns:a16="http://schemas.microsoft.com/office/drawing/2014/main" id="{00000000-0008-0000-0000-00000C000000}"/>
            </a:ext>
          </a:extLst>
        </xdr:cNvPr>
        <xdr:cNvSpPr/>
      </xdr:nvSpPr>
      <xdr:spPr>
        <a:xfrm>
          <a:off x="2281238" y="4381500"/>
          <a:ext cx="219074" cy="152400"/>
        </a:xfrm>
        <a:prstGeom prst="rightArrow">
          <a:avLst/>
        </a:prstGeom>
        <a:solidFill>
          <a:schemeClr val="accent3">
            <a:lumMod val="40000"/>
            <a:lumOff val="60000"/>
          </a:schemeClr>
        </a:solidFill>
        <a:ln>
          <a:solidFill>
            <a:schemeClr val="accent3"/>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13</xdr:col>
      <xdr:colOff>828675</xdr:colOff>
      <xdr:row>3</xdr:row>
      <xdr:rowOff>28576</xdr:rowOff>
    </xdr:from>
    <xdr:to>
      <xdr:col>13</xdr:col>
      <xdr:colOff>7277100</xdr:colOff>
      <xdr:row>9</xdr:row>
      <xdr:rowOff>126912</xdr:rowOff>
    </xdr:to>
    <xdr:pic>
      <xdr:nvPicPr>
        <xdr:cNvPr id="13" name="Picture 12">
          <a:extLst>
            <a:ext uri="{FF2B5EF4-FFF2-40B4-BE49-F238E27FC236}">
              <a16:creationId xmlns:a16="http://schemas.microsoft.com/office/drawing/2014/main" id="{00000000-0008-0000-0000-00000D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42148125" y="1362076"/>
          <a:ext cx="6448425" cy="2631986"/>
        </a:xfrm>
        <a:prstGeom prst="rect">
          <a:avLst/>
        </a:prstGeom>
      </xdr:spPr>
    </xdr:pic>
    <xdr:clientData/>
  </xdr:twoCellAnchor>
  <xdr:twoCellAnchor editAs="oneCell">
    <xdr:from>
      <xdr:col>13</xdr:col>
      <xdr:colOff>533399</xdr:colOff>
      <xdr:row>54</xdr:row>
      <xdr:rowOff>19050</xdr:rowOff>
    </xdr:from>
    <xdr:to>
      <xdr:col>13</xdr:col>
      <xdr:colOff>7420737</xdr:colOff>
      <xdr:row>62</xdr:row>
      <xdr:rowOff>295276</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tretch>
          <a:fillRect/>
        </a:stretch>
      </xdr:blipFill>
      <xdr:spPr>
        <a:xfrm>
          <a:off x="41852849" y="18297525"/>
          <a:ext cx="6887338" cy="2790826"/>
        </a:xfrm>
        <a:prstGeom prst="rect">
          <a:avLst/>
        </a:prstGeom>
      </xdr:spPr>
    </xdr:pic>
    <xdr:clientData/>
  </xdr:twoCellAnchor>
  <xdr:twoCellAnchor editAs="oneCell">
    <xdr:from>
      <xdr:col>13</xdr:col>
      <xdr:colOff>590550</xdr:colOff>
      <xdr:row>64</xdr:row>
      <xdr:rowOff>19049</xdr:rowOff>
    </xdr:from>
    <xdr:to>
      <xdr:col>13</xdr:col>
      <xdr:colOff>7455728</xdr:colOff>
      <xdr:row>72</xdr:row>
      <xdr:rowOff>304800</xdr:rowOff>
    </xdr:to>
    <xdr:pic>
      <xdr:nvPicPr>
        <xdr:cNvPr id="15" name="Picture 14">
          <a:extLst>
            <a:ext uri="{FF2B5EF4-FFF2-40B4-BE49-F238E27FC236}">
              <a16:creationId xmlns:a16="http://schemas.microsoft.com/office/drawing/2014/main" id="{00000000-0008-0000-0000-00000F000000}"/>
            </a:ext>
          </a:extLst>
        </xdr:cNvPr>
        <xdr:cNvPicPr>
          <a:picLocks noChangeAspect="1"/>
        </xdr:cNvPicPr>
      </xdr:nvPicPr>
      <xdr:blipFill>
        <a:blip xmlns:r="http://schemas.openxmlformats.org/officeDocument/2006/relationships" r:embed="rId4">
          <a:extLst>
            <a:ext uri="{28A0092B-C50C-407E-A947-70E740481C1C}">
              <a14:useLocalDpi xmlns:a14="http://schemas.microsoft.com/office/drawing/2010/main" val="0"/>
            </a:ext>
          </a:extLst>
        </a:blip>
        <a:stretch>
          <a:fillRect/>
        </a:stretch>
      </xdr:blipFill>
      <xdr:spPr>
        <a:xfrm>
          <a:off x="41910000" y="21440774"/>
          <a:ext cx="6865178" cy="2800351"/>
        </a:xfrm>
        <a:prstGeom prst="rect">
          <a:avLst/>
        </a:prstGeom>
      </xdr:spPr>
    </xdr:pic>
    <xdr:clientData/>
  </xdr:twoCellAnchor>
  <xdr:twoCellAnchor editAs="oneCell">
    <xdr:from>
      <xdr:col>13</xdr:col>
      <xdr:colOff>436908</xdr:colOff>
      <xdr:row>74</xdr:row>
      <xdr:rowOff>44132</xdr:rowOff>
    </xdr:from>
    <xdr:to>
      <xdr:col>13</xdr:col>
      <xdr:colOff>7315200</xdr:colOff>
      <xdr:row>82</xdr:row>
      <xdr:rowOff>304800</xdr:rowOff>
    </xdr:to>
    <xdr:pic>
      <xdr:nvPicPr>
        <xdr:cNvPr id="16" name="Picture 15">
          <a:extLst>
            <a:ext uri="{FF2B5EF4-FFF2-40B4-BE49-F238E27FC236}">
              <a16:creationId xmlns:a16="http://schemas.microsoft.com/office/drawing/2014/main" id="{00000000-0008-0000-0000-000010000000}"/>
            </a:ext>
          </a:extLst>
        </xdr:cNvPr>
        <xdr:cNvPicPr>
          <a:picLocks noChangeAspect="1"/>
        </xdr:cNvPicPr>
      </xdr:nvPicPr>
      <xdr:blipFill>
        <a:blip xmlns:r="http://schemas.openxmlformats.org/officeDocument/2006/relationships" r:embed="rId5">
          <a:extLst>
            <a:ext uri="{28A0092B-C50C-407E-A947-70E740481C1C}">
              <a14:useLocalDpi xmlns:a14="http://schemas.microsoft.com/office/drawing/2010/main" val="0"/>
            </a:ext>
          </a:extLst>
        </a:blip>
        <a:stretch>
          <a:fillRect/>
        </a:stretch>
      </xdr:blipFill>
      <xdr:spPr>
        <a:xfrm>
          <a:off x="41756358" y="24609107"/>
          <a:ext cx="6878292" cy="2775268"/>
        </a:xfrm>
        <a:prstGeom prst="rect">
          <a:avLst/>
        </a:prstGeom>
      </xdr:spPr>
    </xdr:pic>
    <xdr:clientData/>
  </xdr:twoCellAnchor>
  <xdr:twoCellAnchor editAs="oneCell">
    <xdr:from>
      <xdr:col>13</xdr:col>
      <xdr:colOff>454475</xdr:colOff>
      <xdr:row>84</xdr:row>
      <xdr:rowOff>34781</xdr:rowOff>
    </xdr:from>
    <xdr:to>
      <xdr:col>13</xdr:col>
      <xdr:colOff>7355734</xdr:colOff>
      <xdr:row>92</xdr:row>
      <xdr:rowOff>304800</xdr:rowOff>
    </xdr:to>
    <xdr:pic>
      <xdr:nvPicPr>
        <xdr:cNvPr id="17" name="Picture 16">
          <a:extLst>
            <a:ext uri="{FF2B5EF4-FFF2-40B4-BE49-F238E27FC236}">
              <a16:creationId xmlns:a16="http://schemas.microsoft.com/office/drawing/2014/main" id="{00000000-0008-0000-0000-000011000000}"/>
            </a:ext>
          </a:extLst>
        </xdr:cNvPr>
        <xdr:cNvPicPr>
          <a:picLocks noChangeAspect="1"/>
        </xdr:cNvPicPr>
      </xdr:nvPicPr>
      <xdr:blipFill>
        <a:blip xmlns:r="http://schemas.openxmlformats.org/officeDocument/2006/relationships" r:embed="rId6">
          <a:extLst>
            <a:ext uri="{28A0092B-C50C-407E-A947-70E740481C1C}">
              <a14:useLocalDpi xmlns:a14="http://schemas.microsoft.com/office/drawing/2010/main" val="0"/>
            </a:ext>
          </a:extLst>
        </a:blip>
        <a:stretch>
          <a:fillRect/>
        </a:stretch>
      </xdr:blipFill>
      <xdr:spPr>
        <a:xfrm>
          <a:off x="41773925" y="27743006"/>
          <a:ext cx="6901259" cy="2784619"/>
        </a:xfrm>
        <a:prstGeom prst="rect">
          <a:avLst/>
        </a:prstGeom>
      </xdr:spPr>
    </xdr:pic>
    <xdr:clientData/>
  </xdr:twoCellAnchor>
  <xdr:twoCellAnchor editAs="oneCell">
    <xdr:from>
      <xdr:col>13</xdr:col>
      <xdr:colOff>843315</xdr:colOff>
      <xdr:row>12</xdr:row>
      <xdr:rowOff>38100</xdr:rowOff>
    </xdr:from>
    <xdr:to>
      <xdr:col>13</xdr:col>
      <xdr:colOff>7080310</xdr:colOff>
      <xdr:row>20</xdr:row>
      <xdr:rowOff>254000</xdr:rowOff>
    </xdr:to>
    <xdr:pic>
      <xdr:nvPicPr>
        <xdr:cNvPr id="18" name="Picture 17">
          <a:extLst>
            <a:ext uri="{FF2B5EF4-FFF2-40B4-BE49-F238E27FC236}">
              <a16:creationId xmlns:a16="http://schemas.microsoft.com/office/drawing/2014/main" id="{00000000-0008-0000-0000-000012000000}"/>
            </a:ext>
          </a:extLst>
        </xdr:cNvPr>
        <xdr:cNvPicPr>
          <a:picLocks noChangeAspect="1"/>
        </xdr:cNvPicPr>
      </xdr:nvPicPr>
      <xdr:blipFill>
        <a:blip xmlns:r="http://schemas.openxmlformats.org/officeDocument/2006/relationships" r:embed="rId7">
          <a:extLst>
            <a:ext uri="{28A0092B-C50C-407E-A947-70E740481C1C}">
              <a14:useLocalDpi xmlns:a14="http://schemas.microsoft.com/office/drawing/2010/main" val="0"/>
            </a:ext>
          </a:extLst>
        </a:blip>
        <a:stretch>
          <a:fillRect/>
        </a:stretch>
      </xdr:blipFill>
      <xdr:spPr>
        <a:xfrm>
          <a:off x="42162765" y="4343400"/>
          <a:ext cx="6236995" cy="250190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5</xdr:col>
          <xdr:colOff>965201</xdr:colOff>
          <xdr:row>44</xdr:row>
          <xdr:rowOff>61252</xdr:rowOff>
        </xdr:from>
        <xdr:to>
          <xdr:col>6</xdr:col>
          <xdr:colOff>2959100</xdr:colOff>
          <xdr:row>45</xdr:row>
          <xdr:rowOff>355600</xdr:rowOff>
        </xdr:to>
        <xdr:pic>
          <xdr:nvPicPr>
            <xdr:cNvPr id="21" name="Picture 20">
              <a:extLst>
                <a:ext uri="{FF2B5EF4-FFF2-40B4-BE49-F238E27FC236}">
                  <a16:creationId xmlns:a16="http://schemas.microsoft.com/office/drawing/2014/main" id="{00000000-0008-0000-0000-000015000000}"/>
                </a:ext>
              </a:extLst>
            </xdr:cNvPr>
            <xdr:cNvPicPr>
              <a:picLocks noChangeAspect="1" noChangeArrowheads="1"/>
              <a:extLst>
                <a:ext uri="{84589F7E-364E-4C9E-8A38-B11213B215E9}">
                  <a14:cameraTool cellRange="$P$25:$V$28" spid="_x0000_s35702"/>
                </a:ext>
              </a:extLst>
            </xdr:cNvPicPr>
          </xdr:nvPicPr>
          <xdr:blipFill>
            <a:blip xmlns:r="http://schemas.openxmlformats.org/officeDocument/2006/relationships" r:embed="rId8"/>
            <a:srcRect/>
            <a:stretch>
              <a:fillRect/>
            </a:stretch>
          </xdr:blipFill>
          <xdr:spPr bwMode="auto">
            <a:xfrm>
              <a:off x="5778501" y="13434352"/>
              <a:ext cx="5105399" cy="738848"/>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26443</xdr:colOff>
          <xdr:row>44</xdr:row>
          <xdr:rowOff>104006</xdr:rowOff>
        </xdr:from>
        <xdr:to>
          <xdr:col>5</xdr:col>
          <xdr:colOff>901700</xdr:colOff>
          <xdr:row>45</xdr:row>
          <xdr:rowOff>330200</xdr:rowOff>
        </xdr:to>
        <xdr:pic>
          <xdr:nvPicPr>
            <xdr:cNvPr id="22" name="Picture 21">
              <a:extLst>
                <a:ext uri="{FF2B5EF4-FFF2-40B4-BE49-F238E27FC236}">
                  <a16:creationId xmlns:a16="http://schemas.microsoft.com/office/drawing/2014/main" id="{00000000-0008-0000-0000-000016000000}"/>
                </a:ext>
              </a:extLst>
            </xdr:cNvPr>
            <xdr:cNvPicPr>
              <a:picLocks noChangeAspect="1" noChangeArrowheads="1"/>
              <a:extLst>
                <a:ext uri="{84589F7E-364E-4C9E-8A38-B11213B215E9}">
                  <a14:cameraTool cellRange="$P$21:$U$23" spid="_x0000_s35703"/>
                </a:ext>
              </a:extLst>
            </xdr:cNvPicPr>
          </xdr:nvPicPr>
          <xdr:blipFill>
            <a:blip xmlns:r="http://schemas.openxmlformats.org/officeDocument/2006/relationships" r:embed="rId9"/>
            <a:srcRect/>
            <a:stretch>
              <a:fillRect/>
            </a:stretch>
          </xdr:blipFill>
          <xdr:spPr bwMode="auto">
            <a:xfrm>
              <a:off x="204243" y="13477106"/>
              <a:ext cx="5510757" cy="670694"/>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139700</xdr:colOff>
          <xdr:row>42</xdr:row>
          <xdr:rowOff>145355</xdr:rowOff>
        </xdr:from>
        <xdr:to>
          <xdr:col>6</xdr:col>
          <xdr:colOff>3048000</xdr:colOff>
          <xdr:row>44</xdr:row>
          <xdr:rowOff>15875</xdr:rowOff>
        </xdr:to>
        <xdr:pic>
          <xdr:nvPicPr>
            <xdr:cNvPr id="23" name="Picture 22">
              <a:extLst>
                <a:ext uri="{FF2B5EF4-FFF2-40B4-BE49-F238E27FC236}">
                  <a16:creationId xmlns:a16="http://schemas.microsoft.com/office/drawing/2014/main" id="{00000000-0008-0000-0000-000017000000}"/>
                </a:ext>
              </a:extLst>
            </xdr:cNvPr>
            <xdr:cNvPicPr>
              <a:picLocks noChangeAspect="1" noChangeArrowheads="1"/>
              <a:extLst>
                <a:ext uri="{84589F7E-364E-4C9E-8A38-B11213B215E9}">
                  <a14:cameraTool cellRange="$P$17:$W$19" spid="_x0000_s35704"/>
                </a:ext>
              </a:extLst>
            </xdr:cNvPicPr>
          </xdr:nvPicPr>
          <xdr:blipFill>
            <a:blip xmlns:r="http://schemas.openxmlformats.org/officeDocument/2006/relationships" r:embed="rId10"/>
            <a:srcRect/>
            <a:stretch>
              <a:fillRect/>
            </a:stretch>
          </xdr:blipFill>
          <xdr:spPr bwMode="auto">
            <a:xfrm>
              <a:off x="317500" y="12629455"/>
              <a:ext cx="10655300" cy="759520"/>
            </a:xfrm>
            <a:prstGeom prst="rect">
              <a:avLst/>
            </a:prstGeom>
            <a:solidFill>
              <a:srgbClr val="FFFFFF" mc:Ignorable="a14" a14:legacySpreadsheetColorIndex="9"/>
            </a:solidFill>
            <a:ln w="9525">
              <a:solidFill>
                <a:srgbClr val="000000" mc:Ignorable="a14" a14:legacySpreadsheetColorIndex="64"/>
              </a:solidFill>
              <a:miter lim="800000"/>
              <a:headEnd/>
              <a:tailEnd/>
            </a:ln>
          </xdr:spPr>
        </xdr:pic>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18</xdr:col>
      <xdr:colOff>103390</xdr:colOff>
      <xdr:row>31</xdr:row>
      <xdr:rowOff>132595</xdr:rowOff>
    </xdr:to>
    <xdr:pic>
      <xdr:nvPicPr>
        <xdr:cNvPr id="3" name="Picture 2">
          <a:extLst>
            <a:ext uri="{FF2B5EF4-FFF2-40B4-BE49-F238E27FC236}">
              <a16:creationId xmlns:a16="http://schemas.microsoft.com/office/drawing/2014/main" id="{00000000-0008-0000-0100-000003000000}"/>
            </a:ext>
          </a:extLst>
        </xdr:cNvPr>
        <xdr:cNvPicPr>
          <a:picLocks noChangeAspect="1"/>
        </xdr:cNvPicPr>
      </xdr:nvPicPr>
      <xdr:blipFill>
        <a:blip xmlns:r="http://schemas.openxmlformats.org/officeDocument/2006/relationships" r:embed="rId1"/>
        <a:stretch>
          <a:fillRect/>
        </a:stretch>
      </xdr:blipFill>
      <xdr:spPr>
        <a:xfrm>
          <a:off x="0" y="0"/>
          <a:ext cx="11076190" cy="603809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6</xdr:row>
          <xdr:rowOff>0</xdr:rowOff>
        </xdr:from>
        <xdr:to>
          <xdr:col>21</xdr:col>
          <xdr:colOff>107949</xdr:colOff>
          <xdr:row>7</xdr:row>
          <xdr:rowOff>12700</xdr:rowOff>
        </xdr:to>
        <xdr:pic>
          <xdr:nvPicPr>
            <xdr:cNvPr id="2" name="Picture 1">
              <a:extLst>
                <a:ext uri="{FF2B5EF4-FFF2-40B4-BE49-F238E27FC236}">
                  <a16:creationId xmlns:a16="http://schemas.microsoft.com/office/drawing/2014/main" id="{571CC7BE-84D5-4806-AE08-922ACF92C96D}"/>
                </a:ext>
              </a:extLst>
            </xdr:cNvPr>
            <xdr:cNvPicPr>
              <a:picLocks noChangeAspect="1" noChangeArrowheads="1"/>
              <a:extLst>
                <a:ext uri="{84589F7E-364E-4C9E-8A38-B11213B215E9}">
                  <a14:cameraTool cellRange="#REF!" spid="_x0000_s44151"/>
                </a:ext>
              </a:extLst>
            </xdr:cNvPicPr>
          </xdr:nvPicPr>
          <xdr:blipFill>
            <a:blip xmlns:r="http://schemas.openxmlformats.org/officeDocument/2006/relationships" r:embed="rId1"/>
            <a:srcRect/>
            <a:stretch>
              <a:fillRect/>
            </a:stretch>
          </xdr:blipFill>
          <xdr:spPr bwMode="auto">
            <a:xfrm>
              <a:off x="8201024" y="0"/>
              <a:ext cx="42132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6</xdr:row>
          <xdr:rowOff>0</xdr:rowOff>
        </xdr:from>
        <xdr:to>
          <xdr:col>21</xdr:col>
          <xdr:colOff>107950</xdr:colOff>
          <xdr:row>7</xdr:row>
          <xdr:rowOff>12700</xdr:rowOff>
        </xdr:to>
        <xdr:pic>
          <xdr:nvPicPr>
            <xdr:cNvPr id="3" name="Picture 2">
              <a:extLst>
                <a:ext uri="{FF2B5EF4-FFF2-40B4-BE49-F238E27FC236}">
                  <a16:creationId xmlns:a16="http://schemas.microsoft.com/office/drawing/2014/main" id="{E44387B2-43D8-47F3-B870-D08D95271F7F}"/>
                </a:ext>
              </a:extLst>
            </xdr:cNvPr>
            <xdr:cNvPicPr>
              <a:picLocks noChangeAspect="1" noChangeArrowheads="1"/>
              <a:extLst>
                <a:ext uri="{84589F7E-364E-4C9E-8A38-B11213B215E9}">
                  <a14:cameraTool cellRange="#REF!" spid="_x0000_s44152"/>
                </a:ext>
              </a:extLst>
            </xdr:cNvPicPr>
          </xdr:nvPicPr>
          <xdr:blipFill>
            <a:blip xmlns:r="http://schemas.openxmlformats.org/officeDocument/2006/relationships" r:embed="rId1"/>
            <a:srcRect/>
            <a:stretch>
              <a:fillRect/>
            </a:stretch>
          </xdr:blipFill>
          <xdr:spPr bwMode="auto">
            <a:xfrm>
              <a:off x="8201025" y="0"/>
              <a:ext cx="4213225" cy="260350"/>
            </a:xfrm>
            <a:prstGeom prst="rect">
              <a:avLst/>
            </a:prstGeom>
            <a:noFill/>
            <a:ln w="9525">
              <a:noFill/>
              <a:miter lim="800000"/>
              <a:headEnd/>
              <a:tailEnd/>
            </a:ln>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21</xdr:col>
          <xdr:colOff>107949</xdr:colOff>
          <xdr:row>1</xdr:row>
          <xdr:rowOff>12700</xdr:rowOff>
        </xdr:to>
        <xdr:pic>
          <xdr:nvPicPr>
            <xdr:cNvPr id="31" name="Picture 30">
              <a:extLst>
                <a:ext uri="{FF2B5EF4-FFF2-40B4-BE49-F238E27FC236}">
                  <a16:creationId xmlns:a16="http://schemas.microsoft.com/office/drawing/2014/main" id="{00000000-0008-0000-0200-00001F000000}"/>
                </a:ext>
              </a:extLst>
            </xdr:cNvPr>
            <xdr:cNvPicPr>
              <a:picLocks noChangeAspect="1" noChangeArrowheads="1"/>
              <a:extLst>
                <a:ext uri="{84589F7E-364E-4C9E-8A38-B11213B215E9}">
                  <a14:cameraTool cellRange="#REF!" spid="_x0000_s52309"/>
                </a:ext>
              </a:extLst>
            </xdr:cNvPicPr>
          </xdr:nvPicPr>
          <xdr:blipFill>
            <a:blip xmlns:r="http://schemas.openxmlformats.org/officeDocument/2006/relationships" r:embed="rId1"/>
            <a:srcRect/>
            <a:stretch>
              <a:fillRect/>
            </a:stretch>
          </xdr:blipFill>
          <xdr:spPr bwMode="auto">
            <a:xfrm>
              <a:off x="28844874" y="2603501"/>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21</xdr:col>
          <xdr:colOff>107950</xdr:colOff>
          <xdr:row>1</xdr:row>
          <xdr:rowOff>12700</xdr:rowOff>
        </xdr:to>
        <xdr:pic>
          <xdr:nvPicPr>
            <xdr:cNvPr id="32" name="Picture 31">
              <a:extLst>
                <a:ext uri="{FF2B5EF4-FFF2-40B4-BE49-F238E27FC236}">
                  <a16:creationId xmlns:a16="http://schemas.microsoft.com/office/drawing/2014/main" id="{00000000-0008-0000-0200-000020000000}"/>
                </a:ext>
              </a:extLst>
            </xdr:cNvPr>
            <xdr:cNvPicPr>
              <a:picLocks noChangeAspect="1" noChangeArrowheads="1"/>
              <a:extLst>
                <a:ext uri="{84589F7E-364E-4C9E-8A38-B11213B215E9}">
                  <a14:cameraTool cellRange="#REF!" spid="_x0000_s52310"/>
                </a:ext>
              </a:extLst>
            </xdr:cNvPicPr>
          </xdr:nvPicPr>
          <xdr:blipFill>
            <a:blip xmlns:r="http://schemas.openxmlformats.org/officeDocument/2006/relationships" r:embed="rId1"/>
            <a:srcRect/>
            <a:stretch>
              <a:fillRect/>
            </a:stretch>
          </xdr:blipFill>
          <xdr:spPr bwMode="auto">
            <a:xfrm>
              <a:off x="29006800" y="5435600"/>
              <a:ext cx="4225925" cy="266700"/>
            </a:xfrm>
            <a:prstGeom prst="rect">
              <a:avLst/>
            </a:prstGeom>
            <a:noFill/>
            <a:ln w="9525">
              <a:noFill/>
              <a:miter lim="800000"/>
              <a:headEnd/>
              <a:tailEnd/>
            </a:ln>
          </xdr:spPr>
        </xdr:pic>
        <xdr:clientData/>
      </xdr:twoCellAnchor>
    </mc:Choice>
    <mc:Fallback/>
  </mc:AlternateContent>
</xdr:wsDr>
</file>

<file path=xl/drawings/drawing5.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400-000002000000}"/>
                </a:ext>
              </a:extLst>
            </xdr:cNvPr>
            <xdr:cNvPicPr>
              <a:picLocks noChangeAspect="1" noChangeArrowheads="1"/>
              <a:extLst>
                <a:ext uri="{84589F7E-364E-4C9E-8A38-B11213B215E9}">
                  <a14:cameraTool cellRange="#REF!" spid="_x0000_s20475"/>
                </a:ext>
              </a:extLst>
            </xdr:cNvPicPr>
          </xdr:nvPicPr>
          <xdr:blipFill>
            <a:blip xmlns:r="http://schemas.openxmlformats.org/officeDocument/2006/relationships" r:embed="rId1"/>
            <a:srcRect/>
            <a:stretch>
              <a:fillRect/>
            </a:stretch>
          </xdr:blipFill>
          <xdr:spPr bwMode="auto">
            <a:xfrm>
              <a:off x="1558289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400-000003000000}"/>
                </a:ext>
              </a:extLst>
            </xdr:cNvPr>
            <xdr:cNvPicPr>
              <a:picLocks noChangeAspect="1" noChangeArrowheads="1"/>
              <a:extLst>
                <a:ext uri="{84589F7E-364E-4C9E-8A38-B11213B215E9}">
                  <a14:cameraTool cellRange="#REF!" spid="_x0000_s20476"/>
                </a:ext>
              </a:extLst>
            </xdr:cNvPicPr>
          </xdr:nvPicPr>
          <xdr:blipFill>
            <a:blip xmlns:r="http://schemas.openxmlformats.org/officeDocument/2006/relationships" r:embed="rId1"/>
            <a:srcRect/>
            <a:stretch>
              <a:fillRect/>
            </a:stretch>
          </xdr:blipFill>
          <xdr:spPr bwMode="auto">
            <a:xfrm>
              <a:off x="15744825" y="0"/>
              <a:ext cx="4225925" cy="266700"/>
            </a:xfrm>
            <a:prstGeom prst="rect">
              <a:avLst/>
            </a:prstGeom>
            <a:noFill/>
            <a:ln w="9525">
              <a:noFill/>
              <a:miter lim="800000"/>
              <a:headEnd/>
              <a:tailEnd/>
            </a:ln>
          </xdr:spPr>
        </xdr:pic>
        <xdr:clientData/>
      </xdr:twoCellAnchor>
    </mc:Choice>
    <mc:Fallback/>
  </mc:AlternateContent>
</xdr:wsDr>
</file>

<file path=xl/drawings/drawing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500-000002000000}"/>
                </a:ext>
              </a:extLst>
            </xdr:cNvPr>
            <xdr:cNvPicPr>
              <a:picLocks noChangeAspect="1" noChangeArrowheads="1"/>
              <a:extLst>
                <a:ext uri="{84589F7E-364E-4C9E-8A38-B11213B215E9}">
                  <a14:cameraTool cellRange="#REF!" spid="_x0000_s21499"/>
                </a:ext>
              </a:extLst>
            </xdr:cNvPicPr>
          </xdr:nvPicPr>
          <xdr:blipFill>
            <a:blip xmlns:r="http://schemas.openxmlformats.org/officeDocument/2006/relationships" r:embed="rId1"/>
            <a:srcRect/>
            <a:stretch>
              <a:fillRect/>
            </a:stretch>
          </xdr:blipFill>
          <xdr:spPr bwMode="auto">
            <a:xfrm>
              <a:off x="17049749" y="0"/>
              <a:ext cx="4225925" cy="26670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500-000003000000}"/>
                </a:ext>
              </a:extLst>
            </xdr:cNvPr>
            <xdr:cNvPicPr>
              <a:picLocks noChangeAspect="1" noChangeArrowheads="1"/>
              <a:extLst>
                <a:ext uri="{84589F7E-364E-4C9E-8A38-B11213B215E9}">
                  <a14:cameraTool cellRange="#REF!" spid="_x0000_s21500"/>
                </a:ext>
              </a:extLst>
            </xdr:cNvPicPr>
          </xdr:nvPicPr>
          <xdr:blipFill>
            <a:blip xmlns:r="http://schemas.openxmlformats.org/officeDocument/2006/relationships" r:embed="rId1"/>
            <a:srcRect/>
            <a:stretch>
              <a:fillRect/>
            </a:stretch>
          </xdr:blipFill>
          <xdr:spPr bwMode="auto">
            <a:xfrm>
              <a:off x="17211675" y="0"/>
              <a:ext cx="4225925" cy="266700"/>
            </a:xfrm>
            <a:prstGeom prst="rect">
              <a:avLst/>
            </a:prstGeom>
            <a:noFill/>
            <a:ln w="9525">
              <a:noFill/>
              <a:miter lim="800000"/>
              <a:headEnd/>
              <a:tailEnd/>
            </a:ln>
          </xdr:spPr>
        </xdr:pic>
        <xdr:clientData/>
      </xdr:twoCellAnchor>
    </mc:Choice>
    <mc:Fallback/>
  </mc:AlternateContent>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14</xdr:col>
          <xdr:colOff>1400174</xdr:colOff>
          <xdr:row>0</xdr:row>
          <xdr:rowOff>0</xdr:rowOff>
        </xdr:from>
        <xdr:to>
          <xdr:col>14</xdr:col>
          <xdr:colOff>5626099</xdr:colOff>
          <xdr:row>1</xdr:row>
          <xdr:rowOff>76200</xdr:rowOff>
        </xdr:to>
        <xdr:pic>
          <xdr:nvPicPr>
            <xdr:cNvPr id="2" name="Picture 1">
              <a:extLst>
                <a:ext uri="{FF2B5EF4-FFF2-40B4-BE49-F238E27FC236}">
                  <a16:creationId xmlns:a16="http://schemas.microsoft.com/office/drawing/2014/main" id="{00000000-0008-0000-0600-000002000000}"/>
                </a:ext>
              </a:extLst>
            </xdr:cNvPr>
            <xdr:cNvPicPr>
              <a:picLocks noChangeAspect="1" noChangeArrowheads="1"/>
              <a:extLst>
                <a:ext uri="{84589F7E-364E-4C9E-8A38-B11213B215E9}">
                  <a14:cameraTool cellRange="#REF!" spid="_x0000_s25313"/>
                </a:ext>
              </a:extLst>
            </xdr:cNvPicPr>
          </xdr:nvPicPr>
          <xdr:blipFill>
            <a:blip xmlns:r="http://schemas.openxmlformats.org/officeDocument/2006/relationships" r:embed="rId1"/>
            <a:srcRect/>
            <a:stretch>
              <a:fillRect/>
            </a:stretch>
          </xdr:blipFill>
          <xdr:spPr bwMode="auto">
            <a:xfrm>
              <a:off x="14144624" y="0"/>
              <a:ext cx="4225925" cy="260350"/>
            </a:xfrm>
            <a:prstGeom prst="rect">
              <a:avLst/>
            </a:prstGeom>
            <a:noFill/>
            <a:ln w="9525">
              <a:noFill/>
              <a:miter lim="800000"/>
              <a:headEnd/>
              <a:tailEnd/>
            </a:ln>
          </xdr:spPr>
        </xdr:pic>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1562100</xdr:colOff>
          <xdr:row>0</xdr:row>
          <xdr:rowOff>0</xdr:rowOff>
        </xdr:from>
        <xdr:to>
          <xdr:col>14</xdr:col>
          <xdr:colOff>5788025</xdr:colOff>
          <xdr:row>1</xdr:row>
          <xdr:rowOff>76200</xdr:rowOff>
        </xdr:to>
        <xdr:pic>
          <xdr:nvPicPr>
            <xdr:cNvPr id="3" name="Picture 2">
              <a:extLst>
                <a:ext uri="{FF2B5EF4-FFF2-40B4-BE49-F238E27FC236}">
                  <a16:creationId xmlns:a16="http://schemas.microsoft.com/office/drawing/2014/main" id="{00000000-0008-0000-0600-000003000000}"/>
                </a:ext>
              </a:extLst>
            </xdr:cNvPr>
            <xdr:cNvPicPr>
              <a:picLocks noChangeAspect="1" noChangeArrowheads="1"/>
              <a:extLst>
                <a:ext uri="{84589F7E-364E-4C9E-8A38-B11213B215E9}">
                  <a14:cameraTool cellRange="#REF!" spid="_x0000_s25314"/>
                </a:ext>
              </a:extLst>
            </xdr:cNvPicPr>
          </xdr:nvPicPr>
          <xdr:blipFill>
            <a:blip xmlns:r="http://schemas.openxmlformats.org/officeDocument/2006/relationships" r:embed="rId1"/>
            <a:srcRect/>
            <a:stretch>
              <a:fillRect/>
            </a:stretch>
          </xdr:blipFill>
          <xdr:spPr bwMode="auto">
            <a:xfrm>
              <a:off x="14306550" y="0"/>
              <a:ext cx="4225925" cy="260350"/>
            </a:xfrm>
            <a:prstGeom prst="rect">
              <a:avLst/>
            </a:prstGeom>
            <a:noFill/>
            <a:ln w="9525">
              <a:noFill/>
              <a:miter lim="800000"/>
              <a:headEnd/>
              <a:tailEnd/>
            </a:ln>
          </xdr:spPr>
        </xdr:pic>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25</xdr:col>
      <xdr:colOff>50929</xdr:colOff>
      <xdr:row>51</xdr:row>
      <xdr:rowOff>133350</xdr:rowOff>
    </xdr:to>
    <xdr:pic>
      <xdr:nvPicPr>
        <xdr:cNvPr id="2" name="Picture 1">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050" y="0"/>
          <a:ext cx="15271879" cy="9848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51</xdr:row>
      <xdr:rowOff>104774</xdr:rowOff>
    </xdr:from>
    <xdr:to>
      <xdr:col>24</xdr:col>
      <xdr:colOff>600499</xdr:colOff>
      <xdr:row>113</xdr:row>
      <xdr:rowOff>7793</xdr:rowOff>
    </xdr:to>
    <xdr:pic>
      <xdr:nvPicPr>
        <xdr:cNvPr id="3" name="Picture 2">
          <a:extLst>
            <a:ext uri="{FF2B5EF4-FFF2-40B4-BE49-F238E27FC236}">
              <a16:creationId xmlns:a16="http://schemas.microsoft.com/office/drawing/2014/main" id="{00000000-0008-0000-07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0" y="9820274"/>
          <a:ext cx="15230899" cy="117140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http://epg.modot.org/index.php/231.2_Clear_Zones" TargetMode="External"/><Relationship Id="rId7" Type="http://schemas.openxmlformats.org/officeDocument/2006/relationships/drawing" Target="../drawings/drawing1.xml"/><Relationship Id="rId2" Type="http://schemas.openxmlformats.org/officeDocument/2006/relationships/hyperlink" Target="https://www.modot.org/sites/default/files/documents/Std%20Plans%20TOC%2004-01-2021.pdf" TargetMode="External"/><Relationship Id="rId1" Type="http://schemas.openxmlformats.org/officeDocument/2006/relationships/hyperlink" Target="http://www.modot.org/business/standards_and_specs/endterminals.htm" TargetMode="External"/><Relationship Id="rId6" Type="http://schemas.openxmlformats.org/officeDocument/2006/relationships/printerSettings" Target="../printerSettings/printerSettings1.bin"/><Relationship Id="rId5" Type="http://schemas.openxmlformats.org/officeDocument/2006/relationships/hyperlink" Target="mailto:Engineering%20Policy%20%3cengineering.policy@modot.mo.gov%3e" TargetMode="External"/><Relationship Id="rId4" Type="http://schemas.openxmlformats.org/officeDocument/2006/relationships/hyperlink" Target="http://sharepoint/sites/de/epg/Lists/EPGResponse/Item/newifs.aspx?List=8224cbb0%2D2570%2D419a%2Da4a0%2D4eb7416e97d3&amp;RootFolder=&amp;Web=c952a564%2D1467%2D40b5%2Da053%2D422131a2ca38" TargetMode="External"/><Relationship Id="rId9" Type="http://schemas.openxmlformats.org/officeDocument/2006/relationships/comments" Target="../comments1.xml"/></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8.bin"/><Relationship Id="rId2" Type="http://schemas.openxmlformats.org/officeDocument/2006/relationships/hyperlink" Target="https://safety.fhwa.dot.gov/roadway_dept/countermeasures/reduce_crash_severity/policy_memo/aashto_rdg_120626/" TargetMode="External"/><Relationship Id="rId1" Type="http://schemas.openxmlformats.org/officeDocument/2006/relationships/hyperlink" Target="https://slideplayer.com/slide/8442849/"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tint="0.59999389629810485"/>
    <pageSetUpPr fitToPage="1"/>
  </sheetPr>
  <dimension ref="A1:BH200"/>
  <sheetViews>
    <sheetView showGridLines="0" tabSelected="1" zoomScale="75" zoomScaleNormal="75" workbookViewId="0">
      <selection activeCell="B6" sqref="B6:G6"/>
    </sheetView>
  </sheetViews>
  <sheetFormatPr defaultRowHeight="15" x14ac:dyDescent="0.25"/>
  <cols>
    <col min="1" max="1" width="2.7109375" style="2" customWidth="1"/>
    <col min="2" max="2" width="35.7109375" style="2" customWidth="1"/>
    <col min="3" max="3" width="15.7109375" style="2" customWidth="1"/>
    <col min="4" max="4" width="2.140625" style="2" bestFit="1" customWidth="1"/>
    <col min="5" max="5" width="15.7109375" style="2" customWidth="1"/>
    <col min="6" max="7" width="46.7109375" style="2" customWidth="1"/>
    <col min="8" max="8" width="169.28515625" style="2" customWidth="1"/>
    <col min="9" max="9" width="188" style="2" customWidth="1"/>
    <col min="10" max="10" width="35" style="2" bestFit="1" customWidth="1"/>
    <col min="11" max="12" width="20.7109375" style="2" customWidth="1"/>
    <col min="13" max="13" width="30.42578125" style="2" customWidth="1"/>
    <col min="14" max="14" width="120.85546875" style="2" customWidth="1"/>
    <col min="15" max="15" width="12.42578125" style="2" customWidth="1"/>
    <col min="16" max="16" width="11.42578125" style="2" bestFit="1" customWidth="1"/>
    <col min="17" max="17" width="30" style="2" bestFit="1" customWidth="1"/>
    <col min="18" max="18" width="31.42578125" style="2" bestFit="1" customWidth="1"/>
    <col min="19" max="19" width="26.42578125" style="2" bestFit="1" customWidth="1"/>
    <col min="20" max="20" width="21.140625" style="2" bestFit="1" customWidth="1"/>
    <col min="21" max="21" width="27.5703125" style="2" bestFit="1" customWidth="1"/>
    <col min="22" max="22" width="26.5703125" style="2" bestFit="1" customWidth="1"/>
    <col min="23" max="23" width="9.42578125" style="2" customWidth="1"/>
    <col min="24" max="24" width="13.140625" style="2" customWidth="1"/>
    <col min="25" max="25" width="9.140625" style="2"/>
    <col min="26" max="26" width="14.85546875" style="2" bestFit="1" customWidth="1"/>
    <col min="27" max="27" width="21.28515625" style="2" customWidth="1"/>
    <col min="28" max="28" width="15.28515625" style="2" bestFit="1" customWidth="1"/>
    <col min="29" max="29" width="17.140625" style="2" bestFit="1" customWidth="1"/>
    <col min="30" max="30" width="11.140625" style="2" customWidth="1"/>
    <col min="31" max="31" width="9.140625" style="2"/>
    <col min="32" max="34" width="15.7109375" style="2" customWidth="1"/>
    <col min="35" max="35" width="8" style="2" customWidth="1"/>
    <col min="36" max="36" width="8.28515625" style="2" customWidth="1"/>
    <col min="37" max="60" width="7.28515625" style="2" customWidth="1"/>
    <col min="61" max="16384" width="9.140625" style="2"/>
  </cols>
  <sheetData>
    <row r="1" spans="1:60" ht="35.1" customHeight="1" thickBot="1" x14ac:dyDescent="0.3">
      <c r="A1" s="272"/>
      <c r="B1" s="390" t="s">
        <v>215</v>
      </c>
      <c r="C1" s="391"/>
      <c r="D1" s="391"/>
      <c r="E1" s="391"/>
      <c r="F1" s="391"/>
      <c r="G1" s="392"/>
      <c r="H1" s="272"/>
      <c r="I1" s="272"/>
      <c r="J1" s="272"/>
      <c r="K1" s="272"/>
      <c r="L1" s="272"/>
      <c r="M1" s="272"/>
      <c r="N1" s="272"/>
      <c r="O1" s="272"/>
    </row>
    <row r="2" spans="1:60" ht="35.1" customHeight="1" thickBot="1" x14ac:dyDescent="0.3">
      <c r="A2" s="272"/>
      <c r="B2" s="390" t="s">
        <v>216</v>
      </c>
      <c r="C2" s="391"/>
      <c r="D2" s="391"/>
      <c r="E2" s="391"/>
      <c r="F2" s="391"/>
      <c r="G2" s="392"/>
      <c r="H2" s="272"/>
      <c r="I2" s="272"/>
      <c r="J2" s="272"/>
      <c r="K2" s="272"/>
      <c r="L2" s="272"/>
      <c r="M2" s="272"/>
      <c r="N2" s="272"/>
      <c r="O2" s="272"/>
    </row>
    <row r="3" spans="1:60" ht="20.100000000000001" customHeight="1" thickTop="1" thickBot="1" x14ac:dyDescent="0.45">
      <c r="A3" s="9"/>
      <c r="B3" s="393" t="s">
        <v>172</v>
      </c>
      <c r="C3" s="394"/>
      <c r="D3" s="394"/>
      <c r="E3" s="394"/>
      <c r="F3" s="395" t="s">
        <v>171</v>
      </c>
      <c r="G3" s="396"/>
      <c r="H3" s="9"/>
      <c r="I3" s="272"/>
      <c r="J3" s="273"/>
      <c r="K3" s="274"/>
      <c r="L3" s="275"/>
      <c r="M3" s="273"/>
      <c r="N3" s="276"/>
      <c r="O3" s="275"/>
      <c r="Z3" s="38" t="s">
        <v>1</v>
      </c>
      <c r="AA3" s="38" t="s">
        <v>112</v>
      </c>
      <c r="AF3" s="397" t="s">
        <v>111</v>
      </c>
      <c r="AG3" s="398"/>
      <c r="AH3" s="398"/>
      <c r="AI3" s="398"/>
      <c r="AJ3" s="398"/>
      <c r="AK3" s="398"/>
      <c r="AL3" s="398"/>
      <c r="AM3" s="398"/>
      <c r="AN3" s="398"/>
      <c r="AO3" s="398"/>
      <c r="AP3" s="398"/>
      <c r="AQ3" s="398"/>
      <c r="AR3" s="398"/>
      <c r="AS3" s="398"/>
      <c r="AT3" s="398"/>
      <c r="AU3" s="398"/>
      <c r="AV3" s="398"/>
      <c r="AW3" s="398"/>
      <c r="AX3" s="398"/>
      <c r="AY3" s="398"/>
      <c r="AZ3" s="398"/>
      <c r="BA3" s="398"/>
      <c r="BB3" s="398"/>
      <c r="BC3" s="398"/>
      <c r="BD3" s="398"/>
      <c r="BE3" s="398"/>
      <c r="BF3" s="398"/>
      <c r="BG3" s="398"/>
      <c r="BH3" s="399"/>
    </row>
    <row r="4" spans="1:60" ht="20.100000000000001" customHeight="1" thickTop="1" thickBot="1" x14ac:dyDescent="0.3">
      <c r="A4" s="9"/>
      <c r="B4" s="350" t="s">
        <v>23</v>
      </c>
      <c r="C4" s="355" t="s">
        <v>24</v>
      </c>
      <c r="D4" s="356"/>
      <c r="E4" s="357"/>
      <c r="F4" s="351" t="s">
        <v>25</v>
      </c>
      <c r="G4" s="352" t="s">
        <v>26</v>
      </c>
      <c r="H4" s="9"/>
      <c r="I4" s="9"/>
      <c r="J4" s="131" t="s">
        <v>57</v>
      </c>
      <c r="K4" s="17"/>
      <c r="L4" s="132"/>
      <c r="M4" s="358"/>
      <c r="N4" s="359" t="s">
        <v>28</v>
      </c>
      <c r="O4" s="108"/>
      <c r="Z4" s="120" t="str">
        <f>IF(AND(C9&lt;1000),"&lt;1000",IF(AND(C9&gt;=1000,C9&lt;5000),"1000 to 4999",IF(AND(C9&gt;=5000,C9&lt;=10000),"5000 to 10000",IF(AND(C9&gt;10000),"&gt;10000"))))</f>
        <v>&lt;1000</v>
      </c>
      <c r="AA4" s="121">
        <f>IF((Z4="&lt;1000"),LOOKUP(C8,Z8:Z17,AA8:AA17),0)+IF(AND(Z4="1000 to 4999"),LOOKUP(C8,Z8:Z17,AB8:AB17),0)+IF(AND(Z4="5000 to 10000"),LOOKUP(C8,Z8:Z17,AC8:AC17),0)+IF(Z4="&gt;10000",LOOKUP(C8,Z8:Z17,AD8:AD17),0)</f>
        <v>100</v>
      </c>
      <c r="AB4" s="122"/>
      <c r="AC4" s="122"/>
      <c r="AD4" s="49"/>
      <c r="AF4" s="51" t="s">
        <v>59</v>
      </c>
      <c r="AG4" s="39" t="s">
        <v>1</v>
      </c>
      <c r="AH4" s="39" t="s">
        <v>34</v>
      </c>
      <c r="AI4" s="360" t="s">
        <v>155</v>
      </c>
      <c r="AJ4" s="361"/>
      <c r="AK4" s="318"/>
      <c r="AP4" s="376" t="s">
        <v>160</v>
      </c>
      <c r="AQ4" s="377"/>
      <c r="AR4" s="378"/>
      <c r="AS4" s="378"/>
      <c r="AT4" s="378"/>
      <c r="AU4" s="378"/>
      <c r="AV4" s="378"/>
      <c r="AW4" s="378"/>
      <c r="AX4" s="378"/>
      <c r="AY4" s="378"/>
      <c r="AZ4" s="378"/>
      <c r="BA4" s="378"/>
      <c r="BB4" s="379"/>
      <c r="BC4" s="314"/>
      <c r="BH4" s="49"/>
    </row>
    <row r="5" spans="1:60" ht="20.100000000000001" customHeight="1" thickBot="1" x14ac:dyDescent="0.3">
      <c r="A5" s="9"/>
      <c r="B5" s="277"/>
      <c r="C5" s="380"/>
      <c r="D5" s="381"/>
      <c r="E5" s="382"/>
      <c r="F5" s="278"/>
      <c r="G5" s="278"/>
      <c r="H5" s="9"/>
      <c r="I5" s="9"/>
      <c r="J5" s="133"/>
      <c r="K5" s="18" t="s">
        <v>64</v>
      </c>
      <c r="L5" s="134" t="s">
        <v>65</v>
      </c>
      <c r="M5" s="358"/>
      <c r="N5" s="359"/>
      <c r="O5" s="108"/>
      <c r="Z5" s="383" t="s">
        <v>107</v>
      </c>
      <c r="AA5" s="363"/>
      <c r="AB5" s="363"/>
      <c r="AC5" s="363"/>
      <c r="AD5" s="364"/>
      <c r="AF5" s="52" t="str">
        <f>IF(AND(C8&lt;=40),"40 MPH OR LESS",IF(AND(C8=45),"45 MPH",IF(AND(C8=50),"50 MPH",IF(AND(C8=55),"55 MPH",IF(AND(C8=60),"60 MPH",IF(AND(C8=65),"65 MPH",IF(AND(C8=70),"70 MPH",IF(AND(C8=80),"80 MPH"))))))))</f>
        <v>40 MPH OR LESS</v>
      </c>
      <c r="AG5" s="41" t="str">
        <f>IF(AND(C9&lt;750),"UNDER 750 (C)",IF(AND(C9&gt;=750,C9&lt;1500),"750-1500",IF(AND(C9&gt;=1500,C9&lt;=6000),"1500-6000",IF(AND(C9&gt;6000),"OVER 6000"))))</f>
        <v>UNDER 750 (C)</v>
      </c>
      <c r="AH5" s="40" t="str">
        <f>C10</f>
        <v>Fill 6:1 or flatter</v>
      </c>
      <c r="AI5" s="169">
        <f>IF(AND($C$15="NONE"),AI6,IF(AND($C$15=2950),AK6,IF(AND($C$15=2300),AM6,IF(AND($C$15=1970),AO6,IF(AND($C$15=1640),AQ6,IF(AND($C$15=1475),AS6,IF(AND($C$15=1315),AU6,IF(AND($C$15=1150),AW6,IF(AND($C$15=985),AY6,IF(AND($C$15=820),BA6,IF(AND($C$15=660),BC6,IF(AND($C$15=495),BE6,IF(AND($C$15=330),BG6)))))))))))))</f>
        <v>7</v>
      </c>
      <c r="AJ5" s="170">
        <f>IF(AND($C$15="NONE"),AJ6,IF(AND($C$15=2950),AL6,IF(AND($C$15=2300),AN6,IF(AND($C$15=1970),AP6,IF(AND($C$15=1640),AR6,IF(AND($C$15=1475),AT6,IF(AND($C$15=1315),AV6,IF(AND($C$15=1150),AX6,IF(AND($C$15=985),AZ6,IF(AND($C$15=820),BB6,IF(AND($C$15=660),BD6,IF(AND($C$15=495),BF6,IF(AND($C$15=330),BH6)))))))))))))</f>
        <v>10</v>
      </c>
      <c r="AK5" s="166"/>
      <c r="AL5" s="37"/>
      <c r="AM5" s="37"/>
      <c r="AP5" s="384" t="s">
        <v>110</v>
      </c>
      <c r="AQ5" s="385"/>
      <c r="AR5" s="386" t="s">
        <v>154</v>
      </c>
      <c r="AS5" s="385"/>
      <c r="AT5" s="177">
        <v>1.1000000000000001</v>
      </c>
      <c r="AU5" s="178"/>
      <c r="AV5" s="179">
        <v>1.2</v>
      </c>
      <c r="AW5" s="178"/>
      <c r="AX5" s="180">
        <v>1.3</v>
      </c>
      <c r="AY5" s="178"/>
      <c r="AZ5" s="181">
        <v>1.4</v>
      </c>
      <c r="BA5" s="178"/>
      <c r="BB5" s="182">
        <v>1.5</v>
      </c>
      <c r="BC5" s="183"/>
      <c r="BD5" s="27"/>
      <c r="BE5" s="27"/>
      <c r="BF5" s="27"/>
      <c r="BG5" s="27"/>
      <c r="BH5" s="50"/>
    </row>
    <row r="6" spans="1:60" ht="88.5" customHeight="1" thickTop="1" thickBot="1" x14ac:dyDescent="0.35">
      <c r="A6" s="9"/>
      <c r="B6" s="373" t="s">
        <v>161</v>
      </c>
      <c r="C6" s="374"/>
      <c r="D6" s="374"/>
      <c r="E6" s="374"/>
      <c r="F6" s="374"/>
      <c r="G6" s="375"/>
      <c r="H6" s="9"/>
      <c r="I6" s="9"/>
      <c r="J6" s="115" t="s">
        <v>122</v>
      </c>
      <c r="K6" s="33">
        <v>7</v>
      </c>
      <c r="L6" s="135">
        <v>0</v>
      </c>
      <c r="M6" s="358"/>
      <c r="N6" s="359"/>
      <c r="O6" s="108"/>
      <c r="Z6" s="115" t="s">
        <v>2</v>
      </c>
      <c r="AA6" s="362" t="s">
        <v>60</v>
      </c>
      <c r="AB6" s="363"/>
      <c r="AC6" s="363"/>
      <c r="AD6" s="364"/>
      <c r="AF6" s="365"/>
      <c r="AG6" s="366"/>
      <c r="AH6" s="366"/>
      <c r="AI6" s="191">
        <f t="array" ref="AI6">VLOOKUP($AF$5&amp;$AG$5&amp;$AH$5,CHOOSE({1,2},$AF$8:$AF$199&amp;$AG$8:$AG$199&amp;$AH$8:$AH$199,AI8:AI199),2,0)</f>
        <v>7</v>
      </c>
      <c r="AJ6" s="199">
        <f t="array" ref="AJ6">VLOOKUP($AF$5&amp;$AG$5&amp;$AH$5,CHOOSE({1,2},$AF$8:$AF$199&amp;$AG$8:$AG$199&amp;$AH$8:$AH$199,AJ8:AJ199),2,0)</f>
        <v>10</v>
      </c>
      <c r="AK6" s="191">
        <f t="array" ref="AK6">VLOOKUP($AF$5&amp;$AG$5&amp;$AH$5,CHOOSE({1,2},$AF$8:$AF$199&amp;$AG$8:$AG$199&amp;$AH$8:$AH$199,AK8:AK199),2,0)</f>
        <v>7.7000000000000011</v>
      </c>
      <c r="AL6" s="171">
        <f t="array" ref="AL6">VLOOKUP($AF$5&amp;$AG$5&amp;$AH$5,CHOOSE({1,2},$AF$8:$AF$199&amp;$AG$8:$AG$199&amp;$AH$8:$AH$199,AL8:AL199),2,0)</f>
        <v>11</v>
      </c>
      <c r="AM6" s="191">
        <f t="array" ref="AM6">VLOOKUP($AF$5&amp;$AG$5&amp;$AH$5,CHOOSE({1,2},$AF$8:$AF$199&amp;$AG$8:$AG$199&amp;$AH$8:$AH$199,AM8:AM199),2,0)</f>
        <v>7.7000000000000011</v>
      </c>
      <c r="AN6" s="199">
        <f t="array" ref="AN6">VLOOKUP($AF$5&amp;$AG$5&amp;$AH$5,CHOOSE({1,2},$AF$8:$AF$199&amp;$AG$8:$AG$199&amp;$AH$8:$AH$199,AN8:AN199),2,0)</f>
        <v>11</v>
      </c>
      <c r="AO6" s="191">
        <f t="array" ref="AO6">VLOOKUP($AF$5&amp;$AG$5&amp;$AH$5,CHOOSE({1,2},$AF$8:$AF$199&amp;$AG$8:$AG$199&amp;$AH$8:$AH$199,AO8:AO199),2,0)</f>
        <v>7.7000000000000011</v>
      </c>
      <c r="AP6" s="171">
        <f t="array" ref="AP6">VLOOKUP($AF$5&amp;$AG$5&amp;$AH$5,CHOOSE({1,2},$AF$8:$AF$199&amp;$AG$8:$AG$199&amp;$AH$8:$AH$199,AP8:AP199),2,0)</f>
        <v>11</v>
      </c>
      <c r="AQ6" s="191">
        <f t="array" ref="AQ6">VLOOKUP($AF$5&amp;$AG$5&amp;$AH$5,CHOOSE({1,2},$AF$8:$AF$199&amp;$AG$8:$AG$199&amp;$AH$8:$AH$199,AQ8:AQ199),2,0)</f>
        <v>7.7000000000000011</v>
      </c>
      <c r="AR6" s="171">
        <f t="array" ref="AR6">VLOOKUP($AF$5&amp;$AG$5&amp;$AH$5,CHOOSE({1,2},$AF$8:$AF$199&amp;$AG$8:$AG$199&amp;$AH$8:$AH$199,AR8:AR199),2,0)</f>
        <v>11</v>
      </c>
      <c r="AS6" s="191">
        <f t="array" ref="AS6">VLOOKUP($AF$5&amp;$AG$5&amp;$AH$5,CHOOSE({1,2},$AF$8:$AF$199&amp;$AG$8:$AG$199&amp;$AH$8:$AH$199,AS8:AS199),2,0)</f>
        <v>8.4</v>
      </c>
      <c r="AT6" s="171">
        <f t="array" ref="AT6">VLOOKUP($AF$5&amp;$AG$5&amp;$AH$5,CHOOSE({1,2},$AF$8:$AF$199&amp;$AG$8:$AG$199&amp;$AH$8:$AH$199,AT8:AT199),2,0)</f>
        <v>12</v>
      </c>
      <c r="AU6" s="191">
        <f t="array" ref="AU6">VLOOKUP($AF$5&amp;$AG$5&amp;$AH$5,CHOOSE({1,2},$AF$8:$AF$199&amp;$AG$8:$AG$199&amp;$AH$8:$AH$199,AU8:AU199),2,0)</f>
        <v>8.4</v>
      </c>
      <c r="AV6" s="199">
        <f t="array" ref="AV6">VLOOKUP($AF$5&amp;$AG$5&amp;$AH$5,CHOOSE({1,2},$AF$8:$AF$199&amp;$AG$8:$AG$199&amp;$AH$8:$AH$199,AV8:AV199),2,0)</f>
        <v>12</v>
      </c>
      <c r="AW6" s="191">
        <f t="array" ref="AW6">VLOOKUP($AF$5&amp;$AG$5&amp;$AH$5,CHOOSE({1,2},$AF$8:$AF$199&amp;$AG$8:$AG$199&amp;$AH$8:$AH$199,AW8:AW199),2,0)</f>
        <v>8.4</v>
      </c>
      <c r="AX6" s="171">
        <f t="array" ref="AX6">VLOOKUP($AF$5&amp;$AG$5&amp;$AH$5,CHOOSE({1,2},$AF$8:$AF$199&amp;$AG$8:$AG$199&amp;$AH$8:$AH$199,AX8:AX199),2,0)</f>
        <v>12</v>
      </c>
      <c r="AY6" s="191">
        <f t="array" ref="AY6">VLOOKUP($AF$5&amp;$AG$5&amp;$AH$5,CHOOSE({1,2},$AF$8:$AF$199&amp;$AG$8:$AG$199&amp;$AH$8:$AH$199,AY8:AY199),2,0)</f>
        <v>8.4</v>
      </c>
      <c r="AZ6" s="171">
        <f t="array" ref="AZ6">VLOOKUP($AF$5&amp;$AG$5&amp;$AH$5,CHOOSE({1,2},$AF$8:$AF$199&amp;$AG$8:$AG$199&amp;$AH$8:$AH$199,AZ8:AZ199),2,0)</f>
        <v>12</v>
      </c>
      <c r="BA6" s="191">
        <f t="array" ref="BA6">VLOOKUP($AF$5&amp;$AG$5&amp;$AH$5,CHOOSE({1,2},$AF$8:$AF$199&amp;$AG$8:$AG$199&amp;$AH$8:$AH$199,BA8:BA199),2,0)</f>
        <v>9.1</v>
      </c>
      <c r="BB6" s="171">
        <f t="array" ref="BB6">VLOOKUP($AF$5&amp;$AG$5&amp;$AH$5,CHOOSE({1,2},$AF$8:$AF$199&amp;$AG$8:$AG$199&amp;$AH$8:$AH$199,BB8:BB199),2,0)</f>
        <v>13</v>
      </c>
      <c r="BC6" s="191">
        <f t="array" ref="BC6">VLOOKUP($AF$5&amp;$AG$5&amp;$AH$5,CHOOSE({1,2},$AF$8:$AF$199&amp;$AG$8:$AG$199&amp;$AH$8:$AH$199,BC8:BC199),2,0)</f>
        <v>9.1</v>
      </c>
      <c r="BD6" s="171">
        <f t="array" ref="BD6">VLOOKUP($AF$5&amp;$AG$5&amp;$AH$5,CHOOSE({1,2},$AF$8:$AF$199&amp;$AG$8:$AG$199&amp;$AH$8:$AH$199,BD8:BD199),2,0)</f>
        <v>13</v>
      </c>
      <c r="BE6" s="191">
        <f t="array" ref="BE6">VLOOKUP($AF$5&amp;$AG$5&amp;$AH$5,CHOOSE({1,2},$AF$8:$AF$199&amp;$AG$8:$AG$199&amp;$AH$8:$AH$199,BE8:BE199),2,0)</f>
        <v>9.7999999999999989</v>
      </c>
      <c r="BF6" s="171">
        <f t="array" ref="BF6">VLOOKUP($AF$5&amp;$AG$5&amp;$AH$5,CHOOSE({1,2},$AF$8:$AF$199&amp;$AG$8:$AG$199&amp;$AH$8:$AH$199,BF8:BF199),2,0)</f>
        <v>14</v>
      </c>
      <c r="BG6" s="186">
        <f t="array" ref="BG6">VLOOKUP($AF$5&amp;$AG$5&amp;$AH$5,CHOOSE({1,2},$AF$8:$AF$199&amp;$AG$8:$AG$199&amp;$AH$8:$AH$199,BG8:BG199),2,0)</f>
        <v>10.5</v>
      </c>
      <c r="BH6" s="171">
        <f t="array" ref="BH6">VLOOKUP($AF$5&amp;$AG$5&amp;$AH$5,CHOOSE({1,2},$AF$8:$AF$199&amp;$AG$8:$AG$199&amp;$AH$8:$AH$199,BH8:BH199),2,0)</f>
        <v>15</v>
      </c>
    </row>
    <row r="7" spans="1:60" ht="24.95" customHeight="1" thickBot="1" x14ac:dyDescent="0.35">
      <c r="A7" s="9"/>
      <c r="B7" s="56" t="str">
        <f>IF(C13="MASH","INPUT DATA for MASH Guardrail System:","INPUT DATA for NCHRP 350 Guardrail System:")</f>
        <v>INPUT DATA for MASH Guardrail System:</v>
      </c>
      <c r="C7" s="172"/>
      <c r="D7" s="172"/>
      <c r="E7" s="147"/>
      <c r="F7" s="57"/>
      <c r="G7" s="58"/>
      <c r="H7" s="9"/>
      <c r="I7" s="9"/>
      <c r="J7" s="136" t="s">
        <v>211</v>
      </c>
      <c r="K7" s="33">
        <v>8</v>
      </c>
      <c r="L7" s="135">
        <v>1</v>
      </c>
      <c r="M7" s="358"/>
      <c r="N7" s="359"/>
      <c r="O7" s="108"/>
      <c r="Z7" s="115" t="s">
        <v>3</v>
      </c>
      <c r="AA7" s="6" t="s">
        <v>6</v>
      </c>
      <c r="AB7" s="6" t="s">
        <v>5</v>
      </c>
      <c r="AC7" s="6" t="s">
        <v>0</v>
      </c>
      <c r="AD7" s="116" t="s">
        <v>7</v>
      </c>
      <c r="AF7" s="42" t="s">
        <v>33</v>
      </c>
      <c r="AG7" s="34" t="s">
        <v>1</v>
      </c>
      <c r="AH7" s="321" t="s">
        <v>34</v>
      </c>
      <c r="AI7" s="401" t="s">
        <v>156</v>
      </c>
      <c r="AJ7" s="388"/>
      <c r="AK7" s="387">
        <v>2950</v>
      </c>
      <c r="AL7" s="389"/>
      <c r="AM7" s="387">
        <v>2300</v>
      </c>
      <c r="AN7" s="388"/>
      <c r="AO7" s="387">
        <v>1970</v>
      </c>
      <c r="AP7" s="389"/>
      <c r="AQ7" s="387">
        <v>1640</v>
      </c>
      <c r="AR7" s="389"/>
      <c r="AS7" s="387">
        <v>1475</v>
      </c>
      <c r="AT7" s="389"/>
      <c r="AU7" s="387">
        <v>1315</v>
      </c>
      <c r="AV7" s="388"/>
      <c r="AW7" s="387">
        <v>1150</v>
      </c>
      <c r="AX7" s="389"/>
      <c r="AY7" s="387">
        <v>985</v>
      </c>
      <c r="AZ7" s="389"/>
      <c r="BA7" s="387">
        <v>820</v>
      </c>
      <c r="BB7" s="389"/>
      <c r="BC7" s="387">
        <v>660</v>
      </c>
      <c r="BD7" s="389"/>
      <c r="BE7" s="387">
        <v>495</v>
      </c>
      <c r="BF7" s="389"/>
      <c r="BG7" s="400">
        <v>330</v>
      </c>
      <c r="BH7" s="389"/>
    </row>
    <row r="8" spans="1:60" ht="24.95" customHeight="1" thickTop="1" thickBot="1" x14ac:dyDescent="0.35">
      <c r="A8" s="9"/>
      <c r="B8" s="3" t="s">
        <v>21</v>
      </c>
      <c r="C8" s="367">
        <v>40</v>
      </c>
      <c r="D8" s="368"/>
      <c r="E8" s="369"/>
      <c r="F8" s="316" t="str">
        <f>IF(AI5="-","ERROR-Design Spead/Curve Radius Conflict","Select or Enter Design Speed")</f>
        <v>Select or Enter Design Speed</v>
      </c>
      <c r="G8" s="74" t="str">
        <f>IF(C8&gt;70,"See Note ( d) Below"," ")</f>
        <v xml:space="preserve"> </v>
      </c>
      <c r="H8" s="9"/>
      <c r="I8" s="9"/>
      <c r="J8" s="136" t="s">
        <v>185</v>
      </c>
      <c r="K8" s="33">
        <v>9</v>
      </c>
      <c r="L8" s="135">
        <v>2</v>
      </c>
      <c r="M8" s="358"/>
      <c r="N8" s="359"/>
      <c r="O8" s="108"/>
      <c r="Z8" s="115">
        <v>30</v>
      </c>
      <c r="AA8" s="6">
        <v>70</v>
      </c>
      <c r="AB8" s="6">
        <v>80</v>
      </c>
      <c r="AC8" s="6">
        <v>90</v>
      </c>
      <c r="AD8" s="116">
        <v>110</v>
      </c>
      <c r="AF8" s="43" t="s">
        <v>71</v>
      </c>
      <c r="AG8" s="35" t="s">
        <v>89</v>
      </c>
      <c r="AH8" s="185" t="s">
        <v>17</v>
      </c>
      <c r="AI8" s="192">
        <v>7</v>
      </c>
      <c r="AJ8" s="200">
        <v>10</v>
      </c>
      <c r="AK8" s="211">
        <f>$AI8*$AT$5</f>
        <v>7.7000000000000011</v>
      </c>
      <c r="AL8" s="212">
        <f t="shared" ref="AL8:AR19" si="0">$AJ8*$AT$5</f>
        <v>11</v>
      </c>
      <c r="AM8" s="211">
        <f>$AI8*$AT$5</f>
        <v>7.7000000000000011</v>
      </c>
      <c r="AN8" s="208">
        <f t="shared" si="0"/>
        <v>11</v>
      </c>
      <c r="AO8" s="211">
        <f>$AI8*$AT$5</f>
        <v>7.7000000000000011</v>
      </c>
      <c r="AP8" s="212">
        <f t="shared" si="0"/>
        <v>11</v>
      </c>
      <c r="AQ8" s="211">
        <f>$AI8*$AT$5</f>
        <v>7.7000000000000011</v>
      </c>
      <c r="AR8" s="212">
        <f t="shared" si="0"/>
        <v>11</v>
      </c>
      <c r="AS8" s="227">
        <f>$AI8*$AV$5</f>
        <v>8.4</v>
      </c>
      <c r="AT8" s="228">
        <f t="shared" ref="AT8:AZ19" si="1">$AJ8*$AV$5</f>
        <v>12</v>
      </c>
      <c r="AU8" s="227">
        <f>$AI8*$AV$5</f>
        <v>8.4</v>
      </c>
      <c r="AV8" s="221">
        <f t="shared" si="1"/>
        <v>12</v>
      </c>
      <c r="AW8" s="227">
        <f>$AI8*$AV$5</f>
        <v>8.4</v>
      </c>
      <c r="AX8" s="228">
        <f t="shared" si="1"/>
        <v>12</v>
      </c>
      <c r="AY8" s="227">
        <f>$AI8*$AV$5</f>
        <v>8.4</v>
      </c>
      <c r="AZ8" s="228">
        <f t="shared" si="1"/>
        <v>12</v>
      </c>
      <c r="BA8" s="238">
        <f>$AI8*$AX$5</f>
        <v>9.1</v>
      </c>
      <c r="BB8" s="239">
        <f>$AJ8*$AX$5</f>
        <v>13</v>
      </c>
      <c r="BC8" s="238">
        <f>$AI8*$AX$5</f>
        <v>9.1</v>
      </c>
      <c r="BD8" s="239">
        <f>$AJ8*$AX$5</f>
        <v>13</v>
      </c>
      <c r="BE8" s="240">
        <f>$AI8*$AZ$5</f>
        <v>9.7999999999999989</v>
      </c>
      <c r="BF8" s="241">
        <f>$AJ8*$AZ$5</f>
        <v>14</v>
      </c>
      <c r="BG8" s="237">
        <f>$AI8*$BB$5</f>
        <v>10.5</v>
      </c>
      <c r="BH8" s="167">
        <f>$AJ8*$BB$5</f>
        <v>15</v>
      </c>
    </row>
    <row r="9" spans="1:60" ht="21.95" customHeight="1" thickBot="1" x14ac:dyDescent="0.35">
      <c r="A9" s="9"/>
      <c r="B9" s="3" t="s">
        <v>61</v>
      </c>
      <c r="C9" s="370">
        <v>450</v>
      </c>
      <c r="D9" s="371"/>
      <c r="E9" s="372"/>
      <c r="F9" s="316" t="s">
        <v>137</v>
      </c>
      <c r="G9" s="74" t="str">
        <f>IF(C9&lt;750,"See Note ( c) Below"," ")</f>
        <v>See Note ( c) Below</v>
      </c>
      <c r="H9" s="9"/>
      <c r="I9" s="9"/>
      <c r="J9" s="136" t="s">
        <v>210</v>
      </c>
      <c r="K9" s="33">
        <v>10</v>
      </c>
      <c r="L9" s="135">
        <v>3</v>
      </c>
      <c r="M9" s="358"/>
      <c r="N9" s="359"/>
      <c r="O9" s="108"/>
      <c r="Z9" s="115">
        <v>35</v>
      </c>
      <c r="AA9" s="6">
        <v>85</v>
      </c>
      <c r="AB9" s="6">
        <v>95</v>
      </c>
      <c r="AC9" s="6">
        <v>110</v>
      </c>
      <c r="AD9" s="116">
        <v>135</v>
      </c>
      <c r="AF9" s="44" t="s">
        <v>71</v>
      </c>
      <c r="AG9" s="5" t="s">
        <v>31</v>
      </c>
      <c r="AH9" s="319" t="s">
        <v>17</v>
      </c>
      <c r="AI9" s="193">
        <v>10</v>
      </c>
      <c r="AJ9" s="201">
        <v>12</v>
      </c>
      <c r="AK9" s="213">
        <f t="shared" ref="AK9:AQ24" si="2">$AI9*$AT$5</f>
        <v>11</v>
      </c>
      <c r="AL9" s="214">
        <f t="shared" si="0"/>
        <v>13.200000000000001</v>
      </c>
      <c r="AM9" s="213">
        <f t="shared" si="2"/>
        <v>11</v>
      </c>
      <c r="AN9" s="209">
        <f t="shared" si="0"/>
        <v>13.200000000000001</v>
      </c>
      <c r="AO9" s="213">
        <f t="shared" si="2"/>
        <v>11</v>
      </c>
      <c r="AP9" s="214">
        <f t="shared" si="0"/>
        <v>13.200000000000001</v>
      </c>
      <c r="AQ9" s="213">
        <f t="shared" si="2"/>
        <v>11</v>
      </c>
      <c r="AR9" s="214">
        <f t="shared" si="0"/>
        <v>13.200000000000001</v>
      </c>
      <c r="AS9" s="215">
        <f t="shared" ref="AS9:AY19" si="3">$AI9*$AV$5</f>
        <v>12</v>
      </c>
      <c r="AT9" s="216">
        <f t="shared" si="1"/>
        <v>14.399999999999999</v>
      </c>
      <c r="AU9" s="215">
        <f t="shared" si="3"/>
        <v>12</v>
      </c>
      <c r="AV9" s="210">
        <f t="shared" si="1"/>
        <v>14.399999999999999</v>
      </c>
      <c r="AW9" s="215">
        <f t="shared" si="3"/>
        <v>12</v>
      </c>
      <c r="AX9" s="216">
        <f t="shared" si="1"/>
        <v>14.399999999999999</v>
      </c>
      <c r="AY9" s="215">
        <f t="shared" si="3"/>
        <v>12</v>
      </c>
      <c r="AZ9" s="216">
        <f t="shared" si="1"/>
        <v>14.399999999999999</v>
      </c>
      <c r="BA9" s="217">
        <f t="shared" ref="AY9:BC15" si="4">$AI9*$AX$5</f>
        <v>13</v>
      </c>
      <c r="BB9" s="218">
        <f t="shared" ref="AX9:BD19" si="5">$AJ9*$AX$5</f>
        <v>15.600000000000001</v>
      </c>
      <c r="BC9" s="217">
        <f t="shared" si="4"/>
        <v>13</v>
      </c>
      <c r="BD9" s="218">
        <f t="shared" si="5"/>
        <v>15.600000000000001</v>
      </c>
      <c r="BE9" s="225">
        <f t="shared" ref="AY9:BE19" si="6">$AI9*$AZ$5</f>
        <v>14</v>
      </c>
      <c r="BF9" s="226">
        <f t="shared" ref="AZ9:BF19" si="7">$AJ9*$AZ$5</f>
        <v>16.799999999999997</v>
      </c>
      <c r="BG9" s="222">
        <f t="shared" ref="BC9:BG19" si="8">$AI9*$BB$5</f>
        <v>15</v>
      </c>
      <c r="BH9" s="168">
        <f t="shared" ref="BD9:BH19" si="9">$AJ9*$BB$5</f>
        <v>18</v>
      </c>
    </row>
    <row r="10" spans="1:60" ht="21.95" customHeight="1" thickBot="1" x14ac:dyDescent="0.35">
      <c r="A10" s="9"/>
      <c r="B10" s="3" t="s">
        <v>14</v>
      </c>
      <c r="C10" s="367" t="s">
        <v>17</v>
      </c>
      <c r="D10" s="368"/>
      <c r="E10" s="369"/>
      <c r="F10" s="316" t="s">
        <v>135</v>
      </c>
      <c r="G10" s="165" t="str">
        <f>IF(C10="Fill 3:1","Non-Recoverable Slope, See Note ( b) Below"," ")</f>
        <v xml:space="preserve"> </v>
      </c>
      <c r="H10" s="9"/>
      <c r="I10" s="9"/>
      <c r="J10" s="137" t="s">
        <v>150</v>
      </c>
      <c r="K10" s="33">
        <v>11</v>
      </c>
      <c r="L10" s="135">
        <v>4</v>
      </c>
      <c r="M10" s="358"/>
      <c r="N10" s="359"/>
      <c r="O10" s="108"/>
      <c r="Z10" s="115">
        <v>40</v>
      </c>
      <c r="AA10" s="6">
        <v>100</v>
      </c>
      <c r="AB10" s="6">
        <v>110</v>
      </c>
      <c r="AC10" s="6">
        <v>130</v>
      </c>
      <c r="AD10" s="116">
        <v>160</v>
      </c>
      <c r="AF10" s="44" t="s">
        <v>71</v>
      </c>
      <c r="AG10" s="5" t="s">
        <v>32</v>
      </c>
      <c r="AH10" s="319" t="s">
        <v>17</v>
      </c>
      <c r="AI10" s="193">
        <v>12</v>
      </c>
      <c r="AJ10" s="201">
        <v>14</v>
      </c>
      <c r="AK10" s="213">
        <f t="shared" si="2"/>
        <v>13.200000000000001</v>
      </c>
      <c r="AL10" s="214">
        <f t="shared" si="0"/>
        <v>15.400000000000002</v>
      </c>
      <c r="AM10" s="213">
        <f t="shared" si="2"/>
        <v>13.200000000000001</v>
      </c>
      <c r="AN10" s="209">
        <f t="shared" si="0"/>
        <v>15.400000000000002</v>
      </c>
      <c r="AO10" s="213">
        <f t="shared" si="2"/>
        <v>13.200000000000001</v>
      </c>
      <c r="AP10" s="214">
        <f t="shared" si="0"/>
        <v>15.400000000000002</v>
      </c>
      <c r="AQ10" s="213">
        <f t="shared" si="2"/>
        <v>13.200000000000001</v>
      </c>
      <c r="AR10" s="214">
        <f t="shared" si="0"/>
        <v>15.400000000000002</v>
      </c>
      <c r="AS10" s="215">
        <f t="shared" si="3"/>
        <v>14.399999999999999</v>
      </c>
      <c r="AT10" s="216">
        <f t="shared" si="1"/>
        <v>16.8</v>
      </c>
      <c r="AU10" s="215">
        <f t="shared" si="3"/>
        <v>14.399999999999999</v>
      </c>
      <c r="AV10" s="210">
        <f t="shared" si="1"/>
        <v>16.8</v>
      </c>
      <c r="AW10" s="215">
        <f t="shared" si="3"/>
        <v>14.399999999999999</v>
      </c>
      <c r="AX10" s="216">
        <f t="shared" si="1"/>
        <v>16.8</v>
      </c>
      <c r="AY10" s="215">
        <f t="shared" si="3"/>
        <v>14.399999999999999</v>
      </c>
      <c r="AZ10" s="216">
        <f t="shared" si="1"/>
        <v>16.8</v>
      </c>
      <c r="BA10" s="217">
        <f t="shared" si="4"/>
        <v>15.600000000000001</v>
      </c>
      <c r="BB10" s="218">
        <f t="shared" si="5"/>
        <v>18.2</v>
      </c>
      <c r="BC10" s="217">
        <f t="shared" si="4"/>
        <v>15.600000000000001</v>
      </c>
      <c r="BD10" s="218">
        <f t="shared" si="5"/>
        <v>18.2</v>
      </c>
      <c r="BE10" s="225">
        <f t="shared" si="6"/>
        <v>16.799999999999997</v>
      </c>
      <c r="BF10" s="226">
        <f t="shared" si="7"/>
        <v>19.599999999999998</v>
      </c>
      <c r="BG10" s="222">
        <f t="shared" si="8"/>
        <v>18</v>
      </c>
      <c r="BH10" s="168">
        <f t="shared" si="9"/>
        <v>21</v>
      </c>
    </row>
    <row r="11" spans="1:60" ht="21.95" customHeight="1" thickBot="1" x14ac:dyDescent="0.35">
      <c r="A11" s="9"/>
      <c r="B11" s="3" t="s">
        <v>11</v>
      </c>
      <c r="C11" s="367" t="s">
        <v>12</v>
      </c>
      <c r="D11" s="368"/>
      <c r="E11" s="369"/>
      <c r="F11" s="316" t="s">
        <v>178</v>
      </c>
      <c r="G11" s="75"/>
      <c r="H11" s="9"/>
      <c r="I11" s="9"/>
      <c r="J11" s="138" t="s">
        <v>8</v>
      </c>
      <c r="K11" s="33">
        <v>12</v>
      </c>
      <c r="L11" s="135">
        <v>5</v>
      </c>
      <c r="M11" s="358"/>
      <c r="N11" s="359"/>
      <c r="O11" s="108"/>
      <c r="Z11" s="115">
        <v>45</v>
      </c>
      <c r="AA11" s="6">
        <v>125</v>
      </c>
      <c r="AB11" s="6">
        <v>135</v>
      </c>
      <c r="AC11" s="6">
        <v>160</v>
      </c>
      <c r="AD11" s="116">
        <v>195</v>
      </c>
      <c r="AF11" s="44" t="s">
        <v>71</v>
      </c>
      <c r="AG11" s="5" t="s">
        <v>88</v>
      </c>
      <c r="AH11" s="319" t="s">
        <v>17</v>
      </c>
      <c r="AI11" s="193">
        <v>14</v>
      </c>
      <c r="AJ11" s="201">
        <v>16</v>
      </c>
      <c r="AK11" s="213">
        <f t="shared" si="2"/>
        <v>15.400000000000002</v>
      </c>
      <c r="AL11" s="214">
        <f t="shared" si="0"/>
        <v>17.600000000000001</v>
      </c>
      <c r="AM11" s="213">
        <f t="shared" si="2"/>
        <v>15.400000000000002</v>
      </c>
      <c r="AN11" s="209">
        <f t="shared" si="0"/>
        <v>17.600000000000001</v>
      </c>
      <c r="AO11" s="223">
        <f t="shared" si="2"/>
        <v>15.400000000000002</v>
      </c>
      <c r="AP11" s="224">
        <f t="shared" si="0"/>
        <v>17.600000000000001</v>
      </c>
      <c r="AQ11" s="213">
        <f t="shared" si="2"/>
        <v>15.400000000000002</v>
      </c>
      <c r="AR11" s="214">
        <f t="shared" si="0"/>
        <v>17.600000000000001</v>
      </c>
      <c r="AS11" s="215">
        <f t="shared" si="3"/>
        <v>16.8</v>
      </c>
      <c r="AT11" s="216">
        <f t="shared" si="1"/>
        <v>19.2</v>
      </c>
      <c r="AU11" s="215">
        <f t="shared" si="3"/>
        <v>16.8</v>
      </c>
      <c r="AV11" s="210">
        <f t="shared" si="1"/>
        <v>19.2</v>
      </c>
      <c r="AW11" s="215">
        <f t="shared" si="3"/>
        <v>16.8</v>
      </c>
      <c r="AX11" s="216">
        <f t="shared" si="1"/>
        <v>19.2</v>
      </c>
      <c r="AY11" s="215">
        <f t="shared" si="3"/>
        <v>16.8</v>
      </c>
      <c r="AZ11" s="216">
        <f t="shared" si="1"/>
        <v>19.2</v>
      </c>
      <c r="BA11" s="217">
        <f t="shared" si="4"/>
        <v>18.2</v>
      </c>
      <c r="BB11" s="218">
        <f t="shared" si="5"/>
        <v>20.8</v>
      </c>
      <c r="BC11" s="217">
        <f t="shared" si="4"/>
        <v>18.2</v>
      </c>
      <c r="BD11" s="218">
        <f t="shared" si="5"/>
        <v>20.8</v>
      </c>
      <c r="BE11" s="225">
        <f t="shared" si="6"/>
        <v>19.599999999999998</v>
      </c>
      <c r="BF11" s="226">
        <f t="shared" si="7"/>
        <v>22.4</v>
      </c>
      <c r="BG11" s="222">
        <f t="shared" si="8"/>
        <v>21</v>
      </c>
      <c r="BH11" s="168">
        <f t="shared" si="9"/>
        <v>24</v>
      </c>
    </row>
    <row r="12" spans="1:60" ht="27" customHeight="1" thickBot="1" x14ac:dyDescent="0.35">
      <c r="A12" s="9"/>
      <c r="B12" s="4" t="s">
        <v>149</v>
      </c>
      <c r="C12" s="323" t="s">
        <v>8</v>
      </c>
      <c r="D12" s="353" t="s">
        <v>211</v>
      </c>
      <c r="E12" s="354"/>
      <c r="F12" s="76" t="s">
        <v>214</v>
      </c>
      <c r="G12" s="349" t="str">
        <f>IF(D12="Safety Barrier-Extended Curb","SEE STD. PLAN 606.60B - FOR EXTENDED CURB","")</f>
        <v/>
      </c>
      <c r="H12" s="9"/>
      <c r="I12" s="9"/>
      <c r="J12" s="138" t="s">
        <v>9</v>
      </c>
      <c r="K12" s="33">
        <v>13</v>
      </c>
      <c r="L12" s="135">
        <v>6</v>
      </c>
      <c r="M12" s="358"/>
      <c r="N12" s="359"/>
      <c r="O12" s="108"/>
      <c r="Z12" s="115">
        <v>50</v>
      </c>
      <c r="AA12" s="6">
        <v>150</v>
      </c>
      <c r="AB12" s="6">
        <v>160</v>
      </c>
      <c r="AC12" s="6">
        <v>190</v>
      </c>
      <c r="AD12" s="116">
        <v>230</v>
      </c>
      <c r="AF12" s="44" t="s">
        <v>94</v>
      </c>
      <c r="AG12" s="5" t="s">
        <v>89</v>
      </c>
      <c r="AH12" s="319" t="s">
        <v>17</v>
      </c>
      <c r="AI12" s="193">
        <v>10</v>
      </c>
      <c r="AJ12" s="201">
        <v>12</v>
      </c>
      <c r="AK12" s="213">
        <f t="shared" si="2"/>
        <v>11</v>
      </c>
      <c r="AL12" s="214">
        <f t="shared" si="0"/>
        <v>13.200000000000001</v>
      </c>
      <c r="AM12" s="213">
        <f t="shared" si="2"/>
        <v>11</v>
      </c>
      <c r="AN12" s="209">
        <f t="shared" si="0"/>
        <v>13.200000000000001</v>
      </c>
      <c r="AO12" s="215">
        <f>$AI12*$AV$5</f>
        <v>12</v>
      </c>
      <c r="AP12" s="216">
        <f t="shared" ref="AL12:AR27" si="10">$AJ12*$AV$5</f>
        <v>14.399999999999999</v>
      </c>
      <c r="AQ12" s="215">
        <f>$AI12*$AV$5</f>
        <v>12</v>
      </c>
      <c r="AR12" s="216">
        <f t="shared" si="10"/>
        <v>14.399999999999999</v>
      </c>
      <c r="AS12" s="215">
        <f t="shared" si="3"/>
        <v>12</v>
      </c>
      <c r="AT12" s="216">
        <f t="shared" si="1"/>
        <v>14.399999999999999</v>
      </c>
      <c r="AU12" s="215">
        <f t="shared" si="3"/>
        <v>12</v>
      </c>
      <c r="AV12" s="210">
        <f t="shared" si="1"/>
        <v>14.399999999999999</v>
      </c>
      <c r="AW12" s="215">
        <f t="shared" si="3"/>
        <v>12</v>
      </c>
      <c r="AX12" s="216">
        <f t="shared" si="1"/>
        <v>14.399999999999999</v>
      </c>
      <c r="AY12" s="217">
        <f t="shared" si="4"/>
        <v>13</v>
      </c>
      <c r="AZ12" s="218">
        <f t="shared" si="5"/>
        <v>15.600000000000001</v>
      </c>
      <c r="BA12" s="217">
        <f t="shared" si="4"/>
        <v>13</v>
      </c>
      <c r="BB12" s="218">
        <f t="shared" si="5"/>
        <v>15.600000000000001</v>
      </c>
      <c r="BC12" s="225">
        <f t="shared" si="6"/>
        <v>14</v>
      </c>
      <c r="BD12" s="226">
        <f t="shared" si="7"/>
        <v>16.799999999999997</v>
      </c>
      <c r="BE12" s="229">
        <f t="shared" si="8"/>
        <v>15</v>
      </c>
      <c r="BF12" s="230">
        <f t="shared" si="9"/>
        <v>18</v>
      </c>
      <c r="BG12" s="176" t="s">
        <v>153</v>
      </c>
      <c r="BH12" s="164" t="s">
        <v>153</v>
      </c>
    </row>
    <row r="13" spans="1:60" ht="21.95" customHeight="1" thickBot="1" x14ac:dyDescent="0.35">
      <c r="A13" s="9"/>
      <c r="B13" s="4" t="s">
        <v>116</v>
      </c>
      <c r="C13" s="367" t="s">
        <v>181</v>
      </c>
      <c r="D13" s="368"/>
      <c r="E13" s="369"/>
      <c r="F13" s="77" t="s">
        <v>184</v>
      </c>
      <c r="G13" s="78"/>
      <c r="H13" s="9"/>
      <c r="I13" s="9"/>
      <c r="J13" s="115" t="s">
        <v>62</v>
      </c>
      <c r="K13" s="33">
        <v>14</v>
      </c>
      <c r="L13" s="135">
        <v>7</v>
      </c>
      <c r="M13" s="358"/>
      <c r="N13" s="359" t="s">
        <v>29</v>
      </c>
      <c r="O13" s="108"/>
      <c r="Z13" s="115">
        <v>55</v>
      </c>
      <c r="AA13" s="6">
        <v>175</v>
      </c>
      <c r="AB13" s="6">
        <v>185</v>
      </c>
      <c r="AC13" s="6">
        <v>220</v>
      </c>
      <c r="AD13" s="116">
        <v>265</v>
      </c>
      <c r="AF13" s="44" t="s">
        <v>94</v>
      </c>
      <c r="AG13" s="5" t="s">
        <v>31</v>
      </c>
      <c r="AH13" s="319" t="s">
        <v>17</v>
      </c>
      <c r="AI13" s="193">
        <v>14</v>
      </c>
      <c r="AJ13" s="201">
        <v>16</v>
      </c>
      <c r="AK13" s="213">
        <f t="shared" si="2"/>
        <v>15.400000000000002</v>
      </c>
      <c r="AL13" s="214">
        <f t="shared" si="0"/>
        <v>17.600000000000001</v>
      </c>
      <c r="AM13" s="213">
        <f t="shared" si="2"/>
        <v>15.400000000000002</v>
      </c>
      <c r="AN13" s="209">
        <f t="shared" si="0"/>
        <v>17.600000000000001</v>
      </c>
      <c r="AO13" s="215">
        <f t="shared" ref="AO13:AO19" si="11">$AI13*$AV$5</f>
        <v>16.8</v>
      </c>
      <c r="AP13" s="216">
        <f t="shared" si="10"/>
        <v>19.2</v>
      </c>
      <c r="AQ13" s="215">
        <f t="shared" ref="AQ13:AQ19" si="12">$AI13*$AV$5</f>
        <v>16.8</v>
      </c>
      <c r="AR13" s="216">
        <f t="shared" si="10"/>
        <v>19.2</v>
      </c>
      <c r="AS13" s="215">
        <f t="shared" si="3"/>
        <v>16.8</v>
      </c>
      <c r="AT13" s="216">
        <f t="shared" si="1"/>
        <v>19.2</v>
      </c>
      <c r="AU13" s="215">
        <f t="shared" si="3"/>
        <v>16.8</v>
      </c>
      <c r="AV13" s="210">
        <f t="shared" si="1"/>
        <v>19.2</v>
      </c>
      <c r="AW13" s="215">
        <f t="shared" si="3"/>
        <v>16.8</v>
      </c>
      <c r="AX13" s="216">
        <f t="shared" si="1"/>
        <v>19.2</v>
      </c>
      <c r="AY13" s="217">
        <f t="shared" si="4"/>
        <v>18.2</v>
      </c>
      <c r="AZ13" s="218">
        <f t="shared" si="5"/>
        <v>20.8</v>
      </c>
      <c r="BA13" s="217">
        <f t="shared" si="4"/>
        <v>18.2</v>
      </c>
      <c r="BB13" s="218">
        <f t="shared" si="5"/>
        <v>20.8</v>
      </c>
      <c r="BC13" s="225">
        <f t="shared" si="6"/>
        <v>19.599999999999998</v>
      </c>
      <c r="BD13" s="226">
        <f t="shared" si="7"/>
        <v>22.4</v>
      </c>
      <c r="BE13" s="229">
        <f t="shared" si="8"/>
        <v>21</v>
      </c>
      <c r="BF13" s="230">
        <f t="shared" si="9"/>
        <v>24</v>
      </c>
      <c r="BG13" s="176" t="s">
        <v>153</v>
      </c>
      <c r="BH13" s="164" t="s">
        <v>153</v>
      </c>
    </row>
    <row r="14" spans="1:60" ht="21.95" customHeight="1" thickBot="1" x14ac:dyDescent="0.35">
      <c r="A14" s="9"/>
      <c r="B14" s="4" t="s">
        <v>125</v>
      </c>
      <c r="C14" s="367" t="s">
        <v>118</v>
      </c>
      <c r="D14" s="368"/>
      <c r="E14" s="369"/>
      <c r="F14" s="316" t="s">
        <v>186</v>
      </c>
      <c r="G14" s="78"/>
      <c r="H14" s="9"/>
      <c r="I14" s="9"/>
      <c r="J14" s="138" t="s">
        <v>118</v>
      </c>
      <c r="K14" s="33">
        <v>15</v>
      </c>
      <c r="L14" s="135">
        <v>8</v>
      </c>
      <c r="M14" s="411"/>
      <c r="N14" s="359"/>
      <c r="O14" s="108"/>
      <c r="Z14" s="115">
        <v>60</v>
      </c>
      <c r="AA14" s="6">
        <v>200</v>
      </c>
      <c r="AB14" s="6">
        <v>210</v>
      </c>
      <c r="AC14" s="6">
        <v>250</v>
      </c>
      <c r="AD14" s="116">
        <v>300</v>
      </c>
      <c r="AF14" s="44" t="s">
        <v>94</v>
      </c>
      <c r="AG14" s="5" t="s">
        <v>32</v>
      </c>
      <c r="AH14" s="319" t="s">
        <v>17</v>
      </c>
      <c r="AI14" s="193">
        <v>16</v>
      </c>
      <c r="AJ14" s="201">
        <v>18</v>
      </c>
      <c r="AK14" s="213">
        <f t="shared" si="2"/>
        <v>17.600000000000001</v>
      </c>
      <c r="AL14" s="214">
        <f t="shared" si="0"/>
        <v>19.8</v>
      </c>
      <c r="AM14" s="213">
        <f t="shared" si="2"/>
        <v>17.600000000000001</v>
      </c>
      <c r="AN14" s="209">
        <f t="shared" si="0"/>
        <v>19.8</v>
      </c>
      <c r="AO14" s="215">
        <f t="shared" si="11"/>
        <v>19.2</v>
      </c>
      <c r="AP14" s="216">
        <f t="shared" si="10"/>
        <v>21.599999999999998</v>
      </c>
      <c r="AQ14" s="215">
        <f t="shared" si="12"/>
        <v>19.2</v>
      </c>
      <c r="AR14" s="216">
        <f t="shared" si="10"/>
        <v>21.599999999999998</v>
      </c>
      <c r="AS14" s="215">
        <f t="shared" si="3"/>
        <v>19.2</v>
      </c>
      <c r="AT14" s="216">
        <f t="shared" si="1"/>
        <v>21.599999999999998</v>
      </c>
      <c r="AU14" s="215">
        <f t="shared" si="3"/>
        <v>19.2</v>
      </c>
      <c r="AV14" s="210">
        <f t="shared" si="1"/>
        <v>21.599999999999998</v>
      </c>
      <c r="AW14" s="215">
        <f t="shared" si="3"/>
        <v>19.2</v>
      </c>
      <c r="AX14" s="216">
        <f t="shared" si="1"/>
        <v>21.599999999999998</v>
      </c>
      <c r="AY14" s="217">
        <f t="shared" si="4"/>
        <v>20.8</v>
      </c>
      <c r="AZ14" s="218">
        <f t="shared" si="5"/>
        <v>23.400000000000002</v>
      </c>
      <c r="BA14" s="217">
        <f t="shared" si="4"/>
        <v>20.8</v>
      </c>
      <c r="BB14" s="218">
        <f t="shared" si="5"/>
        <v>23.400000000000002</v>
      </c>
      <c r="BC14" s="225">
        <f t="shared" si="6"/>
        <v>22.4</v>
      </c>
      <c r="BD14" s="226">
        <f t="shared" si="7"/>
        <v>25.2</v>
      </c>
      <c r="BE14" s="229">
        <f t="shared" si="8"/>
        <v>24</v>
      </c>
      <c r="BF14" s="230">
        <f t="shared" si="9"/>
        <v>27</v>
      </c>
      <c r="BG14" s="176" t="s">
        <v>153</v>
      </c>
      <c r="BH14" s="164" t="s">
        <v>153</v>
      </c>
    </row>
    <row r="15" spans="1:60" ht="21.95" customHeight="1" thickBot="1" x14ac:dyDescent="0.35">
      <c r="A15" s="9"/>
      <c r="B15" s="28" t="s">
        <v>91</v>
      </c>
      <c r="C15" s="367" t="s">
        <v>92</v>
      </c>
      <c r="D15" s="368"/>
      <c r="E15" s="369"/>
      <c r="F15" s="292" t="str">
        <f>IF(AI5="-","ERROR-Design Speed/Curve Radius Conflict","Select Radius if Applicable")</f>
        <v>Select Radius if Applicable</v>
      </c>
      <c r="G15" s="74" t="str">
        <f>IF(C15="NONE","","See Note (e) and AASHTO RDG Tables 3-1 and 3-2")</f>
        <v/>
      </c>
      <c r="H15" s="159"/>
      <c r="I15" s="9"/>
      <c r="J15" s="138" t="s">
        <v>124</v>
      </c>
      <c r="K15" s="33">
        <v>16</v>
      </c>
      <c r="L15" s="135">
        <v>9</v>
      </c>
      <c r="M15" s="411"/>
      <c r="N15" s="359"/>
      <c r="O15" s="108"/>
      <c r="Z15" s="115">
        <v>65</v>
      </c>
      <c r="AA15" s="6">
        <v>225</v>
      </c>
      <c r="AB15" s="6">
        <v>250</v>
      </c>
      <c r="AC15" s="6">
        <v>290</v>
      </c>
      <c r="AD15" s="116">
        <v>330</v>
      </c>
      <c r="AF15" s="44" t="s">
        <v>94</v>
      </c>
      <c r="AG15" s="5" t="s">
        <v>88</v>
      </c>
      <c r="AH15" s="319" t="s">
        <v>17</v>
      </c>
      <c r="AI15" s="193">
        <v>20</v>
      </c>
      <c r="AJ15" s="201">
        <v>22</v>
      </c>
      <c r="AK15" s="213">
        <f t="shared" si="2"/>
        <v>22</v>
      </c>
      <c r="AL15" s="214">
        <f t="shared" si="0"/>
        <v>24.200000000000003</v>
      </c>
      <c r="AM15" s="213">
        <f t="shared" si="2"/>
        <v>22</v>
      </c>
      <c r="AN15" s="209">
        <f t="shared" si="0"/>
        <v>24.200000000000003</v>
      </c>
      <c r="AO15" s="215">
        <f t="shared" si="11"/>
        <v>24</v>
      </c>
      <c r="AP15" s="216">
        <f t="shared" si="10"/>
        <v>26.4</v>
      </c>
      <c r="AQ15" s="215">
        <f t="shared" si="12"/>
        <v>24</v>
      </c>
      <c r="AR15" s="216">
        <f t="shared" si="10"/>
        <v>26.4</v>
      </c>
      <c r="AS15" s="215">
        <f t="shared" si="3"/>
        <v>24</v>
      </c>
      <c r="AT15" s="216">
        <f t="shared" si="1"/>
        <v>26.4</v>
      </c>
      <c r="AU15" s="215">
        <f t="shared" si="3"/>
        <v>24</v>
      </c>
      <c r="AV15" s="210">
        <f t="shared" si="1"/>
        <v>26.4</v>
      </c>
      <c r="AW15" s="215">
        <f t="shared" si="3"/>
        <v>24</v>
      </c>
      <c r="AX15" s="216">
        <f t="shared" si="1"/>
        <v>26.4</v>
      </c>
      <c r="AY15" s="217">
        <f t="shared" si="4"/>
        <v>26</v>
      </c>
      <c r="AZ15" s="218">
        <f t="shared" si="5"/>
        <v>28.6</v>
      </c>
      <c r="BA15" s="217">
        <f t="shared" si="4"/>
        <v>26</v>
      </c>
      <c r="BB15" s="218">
        <f t="shared" si="5"/>
        <v>28.6</v>
      </c>
      <c r="BC15" s="225">
        <f t="shared" si="6"/>
        <v>28</v>
      </c>
      <c r="BD15" s="226">
        <f t="shared" si="7"/>
        <v>30.799999999999997</v>
      </c>
      <c r="BE15" s="229">
        <f t="shared" si="8"/>
        <v>30</v>
      </c>
      <c r="BF15" s="230">
        <f t="shared" si="9"/>
        <v>33</v>
      </c>
      <c r="BG15" s="176" t="s">
        <v>153</v>
      </c>
      <c r="BH15" s="164" t="s">
        <v>153</v>
      </c>
    </row>
    <row r="16" spans="1:60" ht="21.95" customHeight="1" thickBot="1" x14ac:dyDescent="0.35">
      <c r="A16" s="9"/>
      <c r="B16" s="3" t="s">
        <v>30</v>
      </c>
      <c r="C16" s="367">
        <v>10</v>
      </c>
      <c r="D16" s="368"/>
      <c r="E16" s="369"/>
      <c r="F16" s="412" t="str">
        <f>IF(C10="Fill 3:1","Carefully consider (La) value when a Fill 3:1 slope is entered-Refer to the AASHTO RDG Figure 3-2",IF(C16&lt;C22,"WARNING-Value Less than Minimum Clear Zone, refer to the AASHTO RDG Table 3-1",IF(C16&gt;E22,"Value Greater than Maximum Clear Zone, refer to the AASHTO RDG Table 3-1","Enter Extent of Hazardous Area (La) Use Lc as a guide- refer to the AASHTO RDG Table 3-1")))</f>
        <v>Enter Extent of Hazardous Area (La) Use Lc as a guide- refer to the AASHTO RDG Table 3-1</v>
      </c>
      <c r="G16" s="413"/>
      <c r="H16" s="9"/>
      <c r="I16" s="9"/>
      <c r="J16" s="139" t="s">
        <v>123</v>
      </c>
      <c r="K16" s="33">
        <v>17</v>
      </c>
      <c r="L16" s="135">
        <v>10</v>
      </c>
      <c r="M16" s="411"/>
      <c r="N16" s="359"/>
      <c r="O16" s="108"/>
      <c r="Z16" s="115">
        <v>70</v>
      </c>
      <c r="AA16" s="6">
        <v>250</v>
      </c>
      <c r="AB16" s="6">
        <v>290</v>
      </c>
      <c r="AC16" s="6">
        <v>330</v>
      </c>
      <c r="AD16" s="116">
        <v>360</v>
      </c>
      <c r="AF16" s="44" t="s">
        <v>95</v>
      </c>
      <c r="AG16" s="5" t="s">
        <v>89</v>
      </c>
      <c r="AH16" s="319" t="s">
        <v>17</v>
      </c>
      <c r="AI16" s="193">
        <v>10</v>
      </c>
      <c r="AJ16" s="201">
        <v>12</v>
      </c>
      <c r="AK16" s="213">
        <f t="shared" si="2"/>
        <v>11</v>
      </c>
      <c r="AL16" s="214">
        <f t="shared" si="0"/>
        <v>13.200000000000001</v>
      </c>
      <c r="AM16" s="215">
        <f>$AI16*$AV$5</f>
        <v>12</v>
      </c>
      <c r="AN16" s="210">
        <f t="shared" si="10"/>
        <v>14.399999999999999</v>
      </c>
      <c r="AO16" s="215">
        <f t="shared" si="11"/>
        <v>12</v>
      </c>
      <c r="AP16" s="216">
        <f t="shared" si="10"/>
        <v>14.399999999999999</v>
      </c>
      <c r="AQ16" s="215">
        <f t="shared" si="12"/>
        <v>12</v>
      </c>
      <c r="AR16" s="216">
        <f t="shared" si="10"/>
        <v>14.399999999999999</v>
      </c>
      <c r="AS16" s="215">
        <f t="shared" si="3"/>
        <v>12</v>
      </c>
      <c r="AT16" s="216">
        <f t="shared" si="1"/>
        <v>14.399999999999999</v>
      </c>
      <c r="AU16" s="217">
        <f t="shared" ref="AU16:AW19" si="13">$AI16*$AX$5</f>
        <v>13</v>
      </c>
      <c r="AV16" s="219">
        <f t="shared" ref="AR16:AV31" si="14">$AJ16*$AX$5</f>
        <v>15.600000000000001</v>
      </c>
      <c r="AW16" s="217">
        <f t="shared" si="13"/>
        <v>13</v>
      </c>
      <c r="AX16" s="218">
        <f t="shared" si="5"/>
        <v>15.600000000000001</v>
      </c>
      <c r="AY16" s="225">
        <f t="shared" si="6"/>
        <v>14</v>
      </c>
      <c r="AZ16" s="226">
        <f t="shared" si="7"/>
        <v>16.799999999999997</v>
      </c>
      <c r="BA16" s="225">
        <f t="shared" si="6"/>
        <v>14</v>
      </c>
      <c r="BB16" s="226">
        <f t="shared" si="7"/>
        <v>16.799999999999997</v>
      </c>
      <c r="BC16" s="229">
        <f t="shared" si="8"/>
        <v>15</v>
      </c>
      <c r="BD16" s="230">
        <f t="shared" si="9"/>
        <v>18</v>
      </c>
      <c r="BE16" s="231" t="s">
        <v>153</v>
      </c>
      <c r="BF16" s="232" t="s">
        <v>153</v>
      </c>
      <c r="BG16" s="176" t="s">
        <v>153</v>
      </c>
      <c r="BH16" s="164" t="s">
        <v>153</v>
      </c>
    </row>
    <row r="17" spans="1:60" ht="21.95" customHeight="1" thickTop="1" thickBot="1" x14ac:dyDescent="0.35">
      <c r="A17" s="9"/>
      <c r="B17" s="3" t="s">
        <v>10</v>
      </c>
      <c r="C17" s="367">
        <v>2</v>
      </c>
      <c r="D17" s="368"/>
      <c r="E17" s="369"/>
      <c r="F17" s="316" t="s">
        <v>177</v>
      </c>
      <c r="G17" s="296" t="str">
        <f>IF(C17&gt;=C16,"Alert - (L2) value entered is =/&gt; (La) value","")</f>
        <v/>
      </c>
      <c r="H17" s="9"/>
      <c r="I17" s="9"/>
      <c r="J17" s="137" t="s">
        <v>117</v>
      </c>
      <c r="K17" s="33">
        <v>18</v>
      </c>
      <c r="L17" s="135">
        <v>11</v>
      </c>
      <c r="M17" s="411"/>
      <c r="N17" s="359"/>
      <c r="O17" s="108"/>
      <c r="P17" s="414" t="s">
        <v>170</v>
      </c>
      <c r="Q17" s="415"/>
      <c r="R17" s="415"/>
      <c r="S17" s="415"/>
      <c r="T17" s="415"/>
      <c r="U17" s="415"/>
      <c r="V17" s="415"/>
      <c r="W17" s="416"/>
      <c r="Z17" s="117">
        <v>80</v>
      </c>
      <c r="AA17" s="118">
        <v>330</v>
      </c>
      <c r="AB17" s="118">
        <v>380</v>
      </c>
      <c r="AC17" s="118">
        <v>430</v>
      </c>
      <c r="AD17" s="119">
        <v>470</v>
      </c>
      <c r="AF17" s="44" t="s">
        <v>95</v>
      </c>
      <c r="AG17" s="5" t="s">
        <v>31</v>
      </c>
      <c r="AH17" s="319" t="s">
        <v>17</v>
      </c>
      <c r="AI17" s="193">
        <v>14</v>
      </c>
      <c r="AJ17" s="201">
        <v>16</v>
      </c>
      <c r="AK17" s="213">
        <f t="shared" si="2"/>
        <v>15.400000000000002</v>
      </c>
      <c r="AL17" s="214">
        <f t="shared" si="0"/>
        <v>17.600000000000001</v>
      </c>
      <c r="AM17" s="215">
        <f t="shared" ref="AM17:AM31" si="15">$AI17*$AV$5</f>
        <v>16.8</v>
      </c>
      <c r="AN17" s="210">
        <f t="shared" si="10"/>
        <v>19.2</v>
      </c>
      <c r="AO17" s="215">
        <f t="shared" si="11"/>
        <v>16.8</v>
      </c>
      <c r="AP17" s="216">
        <f t="shared" si="10"/>
        <v>19.2</v>
      </c>
      <c r="AQ17" s="215">
        <f t="shared" si="12"/>
        <v>16.8</v>
      </c>
      <c r="AR17" s="216">
        <f t="shared" si="10"/>
        <v>19.2</v>
      </c>
      <c r="AS17" s="215">
        <f t="shared" si="3"/>
        <v>16.8</v>
      </c>
      <c r="AT17" s="216">
        <f t="shared" si="1"/>
        <v>19.2</v>
      </c>
      <c r="AU17" s="217">
        <f t="shared" si="13"/>
        <v>18.2</v>
      </c>
      <c r="AV17" s="219">
        <f t="shared" si="14"/>
        <v>20.8</v>
      </c>
      <c r="AW17" s="217">
        <f t="shared" si="13"/>
        <v>18.2</v>
      </c>
      <c r="AX17" s="218">
        <f t="shared" si="5"/>
        <v>20.8</v>
      </c>
      <c r="AY17" s="225">
        <f t="shared" si="6"/>
        <v>19.599999999999998</v>
      </c>
      <c r="AZ17" s="226">
        <f t="shared" si="7"/>
        <v>22.4</v>
      </c>
      <c r="BA17" s="225">
        <f t="shared" si="6"/>
        <v>19.599999999999998</v>
      </c>
      <c r="BB17" s="226">
        <f t="shared" si="7"/>
        <v>22.4</v>
      </c>
      <c r="BC17" s="229">
        <f t="shared" si="8"/>
        <v>21</v>
      </c>
      <c r="BD17" s="230">
        <f t="shared" si="9"/>
        <v>24</v>
      </c>
      <c r="BE17" s="231" t="s">
        <v>153</v>
      </c>
      <c r="BF17" s="232" t="s">
        <v>153</v>
      </c>
      <c r="BG17" s="176" t="s">
        <v>153</v>
      </c>
      <c r="BH17" s="164" t="s">
        <v>153</v>
      </c>
    </row>
    <row r="18" spans="1:60" ht="21.95" customHeight="1" thickBot="1" x14ac:dyDescent="0.35">
      <c r="A18" s="9"/>
      <c r="B18" s="56" t="s">
        <v>22</v>
      </c>
      <c r="C18" s="173"/>
      <c r="D18" s="173"/>
      <c r="E18" s="83"/>
      <c r="G18" s="59"/>
      <c r="H18" s="9"/>
      <c r="I18" s="9"/>
      <c r="J18" s="138" t="s">
        <v>181</v>
      </c>
      <c r="K18" s="33">
        <v>19</v>
      </c>
      <c r="L18" s="135">
        <v>12</v>
      </c>
      <c r="M18" s="411"/>
      <c r="N18" s="359"/>
      <c r="O18" s="108"/>
      <c r="P18" s="297">
        <f>C16</f>
        <v>10</v>
      </c>
      <c r="Q18" s="298">
        <f>C17</f>
        <v>2</v>
      </c>
      <c r="R18" s="299">
        <f>C24</f>
        <v>80</v>
      </c>
      <c r="S18" s="300">
        <f>AA4</f>
        <v>100</v>
      </c>
      <c r="T18" s="301" t="s">
        <v>157</v>
      </c>
      <c r="U18" s="302">
        <f>C22</f>
        <v>7</v>
      </c>
      <c r="V18" s="301" t="s">
        <v>98</v>
      </c>
      <c r="W18" s="303" t="str">
        <f>C15</f>
        <v>NONE</v>
      </c>
      <c r="X18" s="114"/>
      <c r="AB18" s="7"/>
      <c r="AF18" s="44" t="s">
        <v>95</v>
      </c>
      <c r="AG18" s="5" t="s">
        <v>32</v>
      </c>
      <c r="AH18" s="319" t="s">
        <v>17</v>
      </c>
      <c r="AI18" s="193">
        <v>16</v>
      </c>
      <c r="AJ18" s="201">
        <v>18</v>
      </c>
      <c r="AK18" s="213">
        <f t="shared" si="2"/>
        <v>17.600000000000001</v>
      </c>
      <c r="AL18" s="214">
        <f t="shared" si="0"/>
        <v>19.8</v>
      </c>
      <c r="AM18" s="215">
        <f t="shared" si="15"/>
        <v>19.2</v>
      </c>
      <c r="AN18" s="210">
        <f t="shared" si="10"/>
        <v>21.599999999999998</v>
      </c>
      <c r="AO18" s="215">
        <f t="shared" si="11"/>
        <v>19.2</v>
      </c>
      <c r="AP18" s="216">
        <f t="shared" si="10"/>
        <v>21.599999999999998</v>
      </c>
      <c r="AQ18" s="215">
        <f t="shared" si="12"/>
        <v>19.2</v>
      </c>
      <c r="AR18" s="216">
        <f t="shared" si="10"/>
        <v>21.599999999999998</v>
      </c>
      <c r="AS18" s="215">
        <f t="shared" si="3"/>
        <v>19.2</v>
      </c>
      <c r="AT18" s="216">
        <f t="shared" si="1"/>
        <v>21.599999999999998</v>
      </c>
      <c r="AU18" s="217">
        <f t="shared" si="13"/>
        <v>20.8</v>
      </c>
      <c r="AV18" s="219">
        <f t="shared" si="14"/>
        <v>23.400000000000002</v>
      </c>
      <c r="AW18" s="217">
        <f t="shared" si="13"/>
        <v>20.8</v>
      </c>
      <c r="AX18" s="218">
        <f t="shared" si="5"/>
        <v>23.400000000000002</v>
      </c>
      <c r="AY18" s="225">
        <f t="shared" si="6"/>
        <v>22.4</v>
      </c>
      <c r="AZ18" s="226">
        <f t="shared" si="7"/>
        <v>25.2</v>
      </c>
      <c r="BA18" s="225">
        <f t="shared" si="6"/>
        <v>22.4</v>
      </c>
      <c r="BB18" s="226">
        <f t="shared" si="7"/>
        <v>25.2</v>
      </c>
      <c r="BC18" s="229">
        <f t="shared" si="8"/>
        <v>24</v>
      </c>
      <c r="BD18" s="230">
        <f t="shared" si="9"/>
        <v>27</v>
      </c>
      <c r="BE18" s="231" t="s">
        <v>153</v>
      </c>
      <c r="BF18" s="232" t="s">
        <v>153</v>
      </c>
      <c r="BG18" s="176" t="s">
        <v>153</v>
      </c>
      <c r="BH18" s="164" t="s">
        <v>153</v>
      </c>
    </row>
    <row r="19" spans="1:60" ht="24.95" customHeight="1" thickBot="1" x14ac:dyDescent="0.35">
      <c r="A19" s="9"/>
      <c r="B19" s="79" t="s">
        <v>119</v>
      </c>
      <c r="C19" s="417">
        <f>IF(C13="mash",50,IF(OR(D12="Safety Barrier-Reg. or No Curb"),18.75,IF(OR(D12="Safety Barrier-Extended Curb"),18.75,IF(OR(D12="Thrie Beam Rail"),25))))</f>
        <v>50</v>
      </c>
      <c r="D19" s="418"/>
      <c r="E19" s="419"/>
      <c r="F19" s="316" t="str">
        <f>IF(C13="mash","MASH - Safety Barrier Curb - 12.5' or Thrie Beam Rail - 25' (Beyond Stiffness Transition.) Modot Std.Plans","Same as Bridge Anchor/Trans.Section. Refer to AASHTO RDG 5.6.4")</f>
        <v>MASH - Safety Barrier Curb - 12.5' or Thrie Beam Rail - 25' (Beyond Stiffness Transition.) Modot Std.Plans</v>
      </c>
      <c r="G19" s="80"/>
      <c r="H19" s="9"/>
      <c r="I19" s="9"/>
      <c r="J19" s="138" t="s">
        <v>182</v>
      </c>
      <c r="K19" s="33">
        <v>20</v>
      </c>
      <c r="L19" s="135">
        <v>13</v>
      </c>
      <c r="M19" s="411"/>
      <c r="N19" s="359"/>
      <c r="O19" s="108"/>
      <c r="P19" s="304">
        <f>C19</f>
        <v>50</v>
      </c>
      <c r="Q19" s="305" t="str">
        <f>C20</f>
        <v/>
      </c>
      <c r="R19" s="306" t="str">
        <f>C25</f>
        <v/>
      </c>
      <c r="S19" s="307" t="str">
        <f>IF(C14="parallel","","Flare Rate (a:b)=")</f>
        <v/>
      </c>
      <c r="T19" s="308" t="str">
        <f>C21</f>
        <v/>
      </c>
      <c r="U19" s="309"/>
      <c r="V19" s="307"/>
      <c r="W19" s="310"/>
      <c r="AF19" s="44" t="s">
        <v>95</v>
      </c>
      <c r="AG19" s="5" t="s">
        <v>88</v>
      </c>
      <c r="AH19" s="319" t="s">
        <v>17</v>
      </c>
      <c r="AI19" s="193">
        <v>20</v>
      </c>
      <c r="AJ19" s="201">
        <v>22</v>
      </c>
      <c r="AK19" s="213">
        <f t="shared" si="2"/>
        <v>22</v>
      </c>
      <c r="AL19" s="214">
        <f t="shared" si="0"/>
        <v>24.200000000000003</v>
      </c>
      <c r="AM19" s="215">
        <f t="shared" si="15"/>
        <v>24</v>
      </c>
      <c r="AN19" s="210">
        <f t="shared" si="10"/>
        <v>26.4</v>
      </c>
      <c r="AO19" s="215">
        <f t="shared" si="11"/>
        <v>24</v>
      </c>
      <c r="AP19" s="216">
        <f t="shared" si="10"/>
        <v>26.4</v>
      </c>
      <c r="AQ19" s="215">
        <f t="shared" si="12"/>
        <v>24</v>
      </c>
      <c r="AR19" s="216">
        <f t="shared" si="10"/>
        <v>26.4</v>
      </c>
      <c r="AS19" s="215">
        <f t="shared" si="3"/>
        <v>24</v>
      </c>
      <c r="AT19" s="216">
        <f t="shared" si="1"/>
        <v>26.4</v>
      </c>
      <c r="AU19" s="217">
        <f t="shared" si="13"/>
        <v>26</v>
      </c>
      <c r="AV19" s="219">
        <f t="shared" si="14"/>
        <v>28.6</v>
      </c>
      <c r="AW19" s="217">
        <f t="shared" si="13"/>
        <v>26</v>
      </c>
      <c r="AX19" s="218">
        <f t="shared" si="5"/>
        <v>28.6</v>
      </c>
      <c r="AY19" s="225">
        <f t="shared" si="6"/>
        <v>28</v>
      </c>
      <c r="AZ19" s="226">
        <f t="shared" si="7"/>
        <v>30.799999999999997</v>
      </c>
      <c r="BA19" s="225">
        <f t="shared" si="6"/>
        <v>28</v>
      </c>
      <c r="BB19" s="226">
        <f t="shared" si="7"/>
        <v>30.799999999999997</v>
      </c>
      <c r="BC19" s="229">
        <f t="shared" si="8"/>
        <v>30</v>
      </c>
      <c r="BD19" s="230">
        <f t="shared" si="9"/>
        <v>33</v>
      </c>
      <c r="BE19" s="231" t="s">
        <v>153</v>
      </c>
      <c r="BF19" s="232" t="s">
        <v>153</v>
      </c>
      <c r="BG19" s="176" t="s">
        <v>153</v>
      </c>
      <c r="BH19" s="164" t="s">
        <v>153</v>
      </c>
    </row>
    <row r="20" spans="1:60" ht="24.95" customHeight="1" thickBot="1" x14ac:dyDescent="0.35">
      <c r="A20" s="9"/>
      <c r="B20" s="79" t="s">
        <v>120</v>
      </c>
      <c r="C20" s="420" t="str">
        <f>IF(C14="parallel","",Z21)</f>
        <v/>
      </c>
      <c r="D20" s="409"/>
      <c r="E20" s="410"/>
      <c r="F20" s="316" t="str">
        <f>IF(C14="parallel","","Suggested Shy-Line Offset Value - Table 5-7")</f>
        <v/>
      </c>
      <c r="G20" s="60"/>
      <c r="H20" s="10"/>
      <c r="I20" s="9"/>
      <c r="J20" s="137" t="s">
        <v>63</v>
      </c>
      <c r="K20" s="33">
        <v>21</v>
      </c>
      <c r="L20" s="135">
        <v>14</v>
      </c>
      <c r="M20" s="411"/>
      <c r="N20" s="359"/>
      <c r="O20" s="108"/>
      <c r="Z20" s="54" t="s">
        <v>127</v>
      </c>
      <c r="AF20" s="44" t="s">
        <v>74</v>
      </c>
      <c r="AG20" s="5" t="s">
        <v>89</v>
      </c>
      <c r="AH20" s="319" t="s">
        <v>17</v>
      </c>
      <c r="AI20" s="193">
        <v>12</v>
      </c>
      <c r="AJ20" s="201">
        <v>14</v>
      </c>
      <c r="AK20" s="215">
        <f>$AI20*$AV$5</f>
        <v>14.399999999999999</v>
      </c>
      <c r="AL20" s="216">
        <f t="shared" si="10"/>
        <v>16.8</v>
      </c>
      <c r="AM20" s="215">
        <f t="shared" si="15"/>
        <v>14.399999999999999</v>
      </c>
      <c r="AN20" s="210">
        <f t="shared" si="10"/>
        <v>16.8</v>
      </c>
      <c r="AO20" s="215">
        <f t="shared" si="2"/>
        <v>13.200000000000001</v>
      </c>
      <c r="AP20" s="216">
        <f t="shared" si="10"/>
        <v>16.8</v>
      </c>
      <c r="AQ20" s="217">
        <f t="shared" ref="AQ20:AU31" si="16">$AI20*$AX$5</f>
        <v>15.600000000000001</v>
      </c>
      <c r="AR20" s="218">
        <f t="shared" si="14"/>
        <v>18.2</v>
      </c>
      <c r="AS20" s="217">
        <f t="shared" si="16"/>
        <v>15.600000000000001</v>
      </c>
      <c r="AT20" s="218">
        <f t="shared" si="14"/>
        <v>18.2</v>
      </c>
      <c r="AU20" s="217">
        <f t="shared" si="16"/>
        <v>15.600000000000001</v>
      </c>
      <c r="AV20" s="219">
        <f t="shared" si="14"/>
        <v>18.2</v>
      </c>
      <c r="AW20" s="225">
        <f t="shared" ref="AW20:AW23" si="17">$AI20*$AZ$5</f>
        <v>16.799999999999997</v>
      </c>
      <c r="AX20" s="226">
        <f t="shared" ref="AX20:AX23" si="18">$AJ20*$AZ$5</f>
        <v>19.599999999999998</v>
      </c>
      <c r="AY20" s="229">
        <f t="shared" ref="AW20:AY27" si="19">$AI20*$BB$5</f>
        <v>18</v>
      </c>
      <c r="AZ20" s="230">
        <f t="shared" ref="AX20:AZ27" si="20">$AJ20*$BB$5</f>
        <v>21</v>
      </c>
      <c r="BA20" s="229">
        <f t="shared" ref="BA20:BA27" si="21">$AI20*$BB$5</f>
        <v>18</v>
      </c>
      <c r="BB20" s="230">
        <f t="shared" ref="BB20:BB27" si="22">$AJ20*$BB$5</f>
        <v>21</v>
      </c>
      <c r="BC20" s="231" t="s">
        <v>153</v>
      </c>
      <c r="BD20" s="232" t="s">
        <v>153</v>
      </c>
      <c r="BE20" s="231" t="s">
        <v>153</v>
      </c>
      <c r="BF20" s="232" t="s">
        <v>153</v>
      </c>
      <c r="BG20" s="176" t="s">
        <v>153</v>
      </c>
      <c r="BH20" s="164" t="s">
        <v>153</v>
      </c>
    </row>
    <row r="21" spans="1:60" ht="21.95" customHeight="1" thickTop="1" thickBot="1" x14ac:dyDescent="0.35">
      <c r="A21" s="9"/>
      <c r="B21" s="79" t="s">
        <v>136</v>
      </c>
      <c r="C21" s="421" t="str">
        <f>IF(AND(C14="parallel"),"",IF(AND(C13="MASH"),25,Z38))</f>
        <v/>
      </c>
      <c r="D21" s="409"/>
      <c r="E21" s="410"/>
      <c r="F21" s="316" t="str">
        <f>IF(C21="","",IF(C21=25,"Max. Allowable 25:1 for MASH","Suggested Flare Rate - AASHTO RDG Table 5-9"))</f>
        <v/>
      </c>
      <c r="G21" s="78"/>
      <c r="H21" s="30"/>
      <c r="I21" s="9"/>
      <c r="J21" s="138" t="s">
        <v>12</v>
      </c>
      <c r="K21" s="33">
        <v>22</v>
      </c>
      <c r="L21" s="135">
        <v>15</v>
      </c>
      <c r="M21" s="411"/>
      <c r="N21" s="359"/>
      <c r="O21" s="108"/>
      <c r="P21" s="422" t="s">
        <v>167</v>
      </c>
      <c r="Q21" s="423"/>
      <c r="R21" s="423"/>
      <c r="S21" s="423"/>
      <c r="T21" s="423"/>
      <c r="U21" s="424"/>
      <c r="Z21" s="123">
        <f>LOOKUP(C8,Z24:Z33,AA24:AA33)</f>
        <v>5</v>
      </c>
      <c r="AA21" s="49"/>
      <c r="AF21" s="44" t="s">
        <v>74</v>
      </c>
      <c r="AG21" s="5" t="s">
        <v>31</v>
      </c>
      <c r="AH21" s="319" t="s">
        <v>17</v>
      </c>
      <c r="AI21" s="193">
        <v>16</v>
      </c>
      <c r="AJ21" s="201">
        <v>18</v>
      </c>
      <c r="AK21" s="215">
        <f t="shared" ref="AK21:AK35" si="23">$AI21*$AV$5</f>
        <v>19.2</v>
      </c>
      <c r="AL21" s="216">
        <f t="shared" si="10"/>
        <v>21.599999999999998</v>
      </c>
      <c r="AM21" s="215">
        <f t="shared" si="15"/>
        <v>19.2</v>
      </c>
      <c r="AN21" s="210">
        <f t="shared" si="10"/>
        <v>21.599999999999998</v>
      </c>
      <c r="AO21" s="215">
        <f t="shared" si="2"/>
        <v>17.600000000000001</v>
      </c>
      <c r="AP21" s="216">
        <f t="shared" si="10"/>
        <v>21.599999999999998</v>
      </c>
      <c r="AQ21" s="217">
        <f t="shared" si="16"/>
        <v>20.8</v>
      </c>
      <c r="AR21" s="218">
        <f t="shared" si="14"/>
        <v>23.400000000000002</v>
      </c>
      <c r="AS21" s="217">
        <f t="shared" si="16"/>
        <v>20.8</v>
      </c>
      <c r="AT21" s="218">
        <f t="shared" si="14"/>
        <v>23.400000000000002</v>
      </c>
      <c r="AU21" s="217">
        <f t="shared" si="16"/>
        <v>20.8</v>
      </c>
      <c r="AV21" s="219">
        <f t="shared" si="14"/>
        <v>23.400000000000002</v>
      </c>
      <c r="AW21" s="225">
        <f t="shared" si="17"/>
        <v>22.4</v>
      </c>
      <c r="AX21" s="226">
        <f t="shared" si="18"/>
        <v>25.2</v>
      </c>
      <c r="AY21" s="229">
        <f t="shared" si="19"/>
        <v>24</v>
      </c>
      <c r="AZ21" s="230">
        <f t="shared" si="20"/>
        <v>27</v>
      </c>
      <c r="BA21" s="229">
        <f t="shared" si="21"/>
        <v>24</v>
      </c>
      <c r="BB21" s="230">
        <f t="shared" si="22"/>
        <v>27</v>
      </c>
      <c r="BC21" s="231" t="s">
        <v>153</v>
      </c>
      <c r="BD21" s="232" t="s">
        <v>153</v>
      </c>
      <c r="BE21" s="231" t="s">
        <v>153</v>
      </c>
      <c r="BF21" s="232" t="s">
        <v>153</v>
      </c>
      <c r="BG21" s="176" t="s">
        <v>153</v>
      </c>
      <c r="BH21" s="164" t="s">
        <v>153</v>
      </c>
    </row>
    <row r="22" spans="1:60" ht="21.95" customHeight="1" thickBot="1" x14ac:dyDescent="0.35">
      <c r="A22" s="9"/>
      <c r="B22" s="79" t="s">
        <v>158</v>
      </c>
      <c r="C22" s="291">
        <f>IF(AI5="-","ERROR",AI5)</f>
        <v>7</v>
      </c>
      <c r="D22" s="174" t="s">
        <v>153</v>
      </c>
      <c r="E22" s="175">
        <f>IF(AJ5="-","See Note (e)",AJ5)</f>
        <v>10</v>
      </c>
      <c r="F22" s="316" t="str">
        <f>IF(AND(C15&gt;329,C15&lt;2951),"Clear Zone Curve Correction Factor has been Applied from AASHTO RDG Table 3-2;   - See Notes Below","AASHTO RDG Clear Zone Table 3-1  See Note Below")</f>
        <v>AASHTO RDG Clear Zone Table 3-1  See Note Below</v>
      </c>
      <c r="G22" s="59"/>
      <c r="H22" s="9"/>
      <c r="I22" s="9"/>
      <c r="J22" s="138" t="s">
        <v>13</v>
      </c>
      <c r="K22" s="33">
        <v>23</v>
      </c>
      <c r="L22" s="135">
        <v>16</v>
      </c>
      <c r="M22" s="311"/>
      <c r="N22" s="16"/>
      <c r="O22" s="108"/>
      <c r="P22" s="402" t="s">
        <v>166</v>
      </c>
      <c r="Q22" s="249">
        <f>IF(C14="PARALLEL",C16,"N/A")</f>
        <v>10</v>
      </c>
      <c r="R22" s="250" t="s">
        <v>153</v>
      </c>
      <c r="S22" s="251">
        <f>IF(C14="PARALLEL",C17,"N/A")</f>
        <v>2</v>
      </c>
      <c r="T22" s="404">
        <f>IF(C14="PARALLEL",(Q22-S22)/(Q23/S23),"N/A")</f>
        <v>80</v>
      </c>
      <c r="U22" s="405"/>
      <c r="Z22" s="124" t="s">
        <v>2</v>
      </c>
      <c r="AA22" s="116" t="s">
        <v>126</v>
      </c>
      <c r="AB22" s="313"/>
      <c r="AC22" s="313"/>
      <c r="AD22" s="313"/>
      <c r="AF22" s="44" t="s">
        <v>74</v>
      </c>
      <c r="AG22" s="5" t="s">
        <v>32</v>
      </c>
      <c r="AH22" s="319" t="s">
        <v>17</v>
      </c>
      <c r="AI22" s="193">
        <v>20</v>
      </c>
      <c r="AJ22" s="201">
        <v>22</v>
      </c>
      <c r="AK22" s="215">
        <f t="shared" si="23"/>
        <v>24</v>
      </c>
      <c r="AL22" s="216">
        <f t="shared" si="10"/>
        <v>26.4</v>
      </c>
      <c r="AM22" s="215">
        <f t="shared" si="15"/>
        <v>24</v>
      </c>
      <c r="AN22" s="210">
        <f t="shared" si="10"/>
        <v>26.4</v>
      </c>
      <c r="AO22" s="215">
        <f t="shared" si="2"/>
        <v>22</v>
      </c>
      <c r="AP22" s="216">
        <f t="shared" si="10"/>
        <v>26.4</v>
      </c>
      <c r="AQ22" s="217">
        <f t="shared" si="16"/>
        <v>26</v>
      </c>
      <c r="AR22" s="218">
        <f t="shared" si="14"/>
        <v>28.6</v>
      </c>
      <c r="AS22" s="217">
        <f t="shared" si="16"/>
        <v>26</v>
      </c>
      <c r="AT22" s="218">
        <f t="shared" si="14"/>
        <v>28.6</v>
      </c>
      <c r="AU22" s="217">
        <f t="shared" si="16"/>
        <v>26</v>
      </c>
      <c r="AV22" s="219">
        <f t="shared" si="14"/>
        <v>28.6</v>
      </c>
      <c r="AW22" s="225">
        <f t="shared" si="17"/>
        <v>28</v>
      </c>
      <c r="AX22" s="226">
        <f t="shared" si="18"/>
        <v>30.799999999999997</v>
      </c>
      <c r="AY22" s="229">
        <f t="shared" si="19"/>
        <v>30</v>
      </c>
      <c r="AZ22" s="230">
        <f t="shared" si="20"/>
        <v>33</v>
      </c>
      <c r="BA22" s="229">
        <f t="shared" si="21"/>
        <v>30</v>
      </c>
      <c r="BB22" s="230">
        <f t="shared" si="22"/>
        <v>33</v>
      </c>
      <c r="BC22" s="231" t="s">
        <v>153</v>
      </c>
      <c r="BD22" s="232" t="s">
        <v>153</v>
      </c>
      <c r="BE22" s="231" t="s">
        <v>153</v>
      </c>
      <c r="BF22" s="232" t="s">
        <v>153</v>
      </c>
      <c r="BG22" s="176" t="s">
        <v>153</v>
      </c>
      <c r="BH22" s="164" t="s">
        <v>153</v>
      </c>
    </row>
    <row r="23" spans="1:60" ht="21.95" customHeight="1" thickBot="1" x14ac:dyDescent="0.35">
      <c r="A23" s="9"/>
      <c r="B23" s="79" t="s">
        <v>27</v>
      </c>
      <c r="C23" s="408">
        <f>AA4</f>
        <v>100</v>
      </c>
      <c r="D23" s="409"/>
      <c r="E23" s="410"/>
      <c r="F23" s="316" t="s">
        <v>173</v>
      </c>
      <c r="G23" s="81"/>
      <c r="H23" s="9"/>
      <c r="I23" s="9"/>
      <c r="J23" s="133"/>
      <c r="K23" s="33">
        <v>24</v>
      </c>
      <c r="L23" s="135">
        <v>17</v>
      </c>
      <c r="M23" s="109"/>
      <c r="N23" s="320" t="str">
        <f>IF(AND(C11="Adjacent",C14="parallel"),"Adjacent_Parallel",IF(AND(C11="Adjacent",C14="flared / rigid"),"Adjacent_Flared_Rigid",IF(AND(C11="Adjacent",C14="flared / semi rigid"),"Adjacent_Flared_Semi_Rigid",IF(AND(C11="Opposing",C14="parallel"),"Opposing_Parallel",IF(AND(C11="Opposing",C14="flared / rigid"),"Opposing_Flared_Rigid",IF(AND(C11="Opposing",C14="flared / semi rigid"),"Opposing_Flared_Semi_Rigid"))))))</f>
        <v>Adjacent_Parallel</v>
      </c>
      <c r="O23" s="108"/>
      <c r="P23" s="403"/>
      <c r="Q23" s="252">
        <f>IF(C14="PARALLEL",C16,"N/A")</f>
        <v>10</v>
      </c>
      <c r="R23" s="253" t="s">
        <v>165</v>
      </c>
      <c r="S23" s="254">
        <f>IF(C14="PARALLEL",AA4,"N/A")</f>
        <v>100</v>
      </c>
      <c r="T23" s="406"/>
      <c r="U23" s="407"/>
      <c r="Z23" s="115" t="s">
        <v>3</v>
      </c>
      <c r="AA23" s="116"/>
      <c r="AB23" s="315"/>
      <c r="AC23" s="315"/>
      <c r="AD23" s="315"/>
      <c r="AF23" s="44" t="s">
        <v>74</v>
      </c>
      <c r="AG23" s="5" t="s">
        <v>88</v>
      </c>
      <c r="AH23" s="319" t="s">
        <v>17</v>
      </c>
      <c r="AI23" s="193">
        <v>22</v>
      </c>
      <c r="AJ23" s="201">
        <v>24</v>
      </c>
      <c r="AK23" s="215">
        <f t="shared" si="23"/>
        <v>26.4</v>
      </c>
      <c r="AL23" s="216">
        <f t="shared" si="10"/>
        <v>28.799999999999997</v>
      </c>
      <c r="AM23" s="215">
        <f t="shared" si="15"/>
        <v>26.4</v>
      </c>
      <c r="AN23" s="210">
        <f t="shared" si="10"/>
        <v>28.799999999999997</v>
      </c>
      <c r="AO23" s="215">
        <f t="shared" si="2"/>
        <v>24.200000000000003</v>
      </c>
      <c r="AP23" s="216">
        <f t="shared" si="10"/>
        <v>28.799999999999997</v>
      </c>
      <c r="AQ23" s="217">
        <f t="shared" si="16"/>
        <v>28.6</v>
      </c>
      <c r="AR23" s="218">
        <f t="shared" si="14"/>
        <v>31.200000000000003</v>
      </c>
      <c r="AS23" s="217">
        <f t="shared" si="16"/>
        <v>28.6</v>
      </c>
      <c r="AT23" s="218">
        <f t="shared" si="14"/>
        <v>31.200000000000003</v>
      </c>
      <c r="AU23" s="217">
        <f t="shared" si="16"/>
        <v>28.6</v>
      </c>
      <c r="AV23" s="219">
        <f t="shared" si="14"/>
        <v>31.200000000000003</v>
      </c>
      <c r="AW23" s="225">
        <f t="shared" si="17"/>
        <v>30.799999999999997</v>
      </c>
      <c r="AX23" s="226">
        <f t="shared" si="18"/>
        <v>33.599999999999994</v>
      </c>
      <c r="AY23" s="229">
        <f t="shared" si="19"/>
        <v>33</v>
      </c>
      <c r="AZ23" s="230">
        <f t="shared" si="20"/>
        <v>36</v>
      </c>
      <c r="BA23" s="229">
        <f t="shared" si="21"/>
        <v>33</v>
      </c>
      <c r="BB23" s="230">
        <f t="shared" si="22"/>
        <v>36</v>
      </c>
      <c r="BC23" s="231" t="s">
        <v>153</v>
      </c>
      <c r="BD23" s="232" t="s">
        <v>153</v>
      </c>
      <c r="BE23" s="231" t="s">
        <v>153</v>
      </c>
      <c r="BF23" s="232" t="s">
        <v>153</v>
      </c>
      <c r="BG23" s="176" t="s">
        <v>153</v>
      </c>
      <c r="BH23" s="164" t="s">
        <v>153</v>
      </c>
    </row>
    <row r="24" spans="1:60" ht="21.95" customHeight="1" thickBot="1" x14ac:dyDescent="0.35">
      <c r="A24" s="9"/>
      <c r="B24" s="79" t="s">
        <v>213</v>
      </c>
      <c r="C24" s="425">
        <f>IF(C14="parallel",(C16-C17)/(C16/C23),((C16+((1/C21)*C19)-C17))/((1/C21)+(C16/C23)))</f>
        <v>80</v>
      </c>
      <c r="D24" s="409"/>
      <c r="E24" s="410"/>
      <c r="F24" s="316" t="str">
        <f>IF(C24&lt;=0,"0 or Less Value-No Guardrail Required. (Other Factors may Warrant the Need).","Length of Need (L.O.N.) - SEE CALCULATION BELOW.")</f>
        <v>Length of Need (L.O.N.) - SEE CALCULATION BELOW.</v>
      </c>
      <c r="G24" s="347"/>
      <c r="H24" s="9"/>
      <c r="I24" s="9"/>
      <c r="J24" s="137" t="s">
        <v>34</v>
      </c>
      <c r="K24" s="33">
        <v>25</v>
      </c>
      <c r="L24" s="135">
        <v>18</v>
      </c>
      <c r="M24" s="109"/>
      <c r="N24" s="16"/>
      <c r="O24" s="108"/>
      <c r="Q24" s="27"/>
      <c r="R24" s="27"/>
      <c r="Z24" s="115">
        <v>30</v>
      </c>
      <c r="AA24" s="116">
        <v>4</v>
      </c>
      <c r="AB24" s="315"/>
      <c r="AC24" s="315"/>
      <c r="AD24" s="315"/>
      <c r="AF24" s="44" t="s">
        <v>75</v>
      </c>
      <c r="AG24" s="5" t="s">
        <v>89</v>
      </c>
      <c r="AH24" s="319" t="s">
        <v>17</v>
      </c>
      <c r="AI24" s="193">
        <v>16</v>
      </c>
      <c r="AJ24" s="201">
        <v>18</v>
      </c>
      <c r="AK24" s="215">
        <f t="shared" si="23"/>
        <v>19.2</v>
      </c>
      <c r="AL24" s="216">
        <f t="shared" si="10"/>
        <v>21.599999999999998</v>
      </c>
      <c r="AM24" s="215">
        <f t="shared" si="15"/>
        <v>19.2</v>
      </c>
      <c r="AN24" s="210">
        <f t="shared" si="10"/>
        <v>21.599999999999998</v>
      </c>
      <c r="AO24" s="215">
        <f t="shared" si="2"/>
        <v>17.600000000000001</v>
      </c>
      <c r="AP24" s="216">
        <f t="shared" si="10"/>
        <v>21.599999999999998</v>
      </c>
      <c r="AQ24" s="217">
        <f t="shared" si="16"/>
        <v>20.8</v>
      </c>
      <c r="AR24" s="218">
        <f t="shared" si="14"/>
        <v>23.400000000000002</v>
      </c>
      <c r="AS24" s="217">
        <f t="shared" si="16"/>
        <v>20.8</v>
      </c>
      <c r="AT24" s="218">
        <f t="shared" si="14"/>
        <v>23.400000000000002</v>
      </c>
      <c r="AU24" s="217">
        <f t="shared" si="16"/>
        <v>20.8</v>
      </c>
      <c r="AV24" s="219">
        <f t="shared" si="14"/>
        <v>23.400000000000002</v>
      </c>
      <c r="AW24" s="229">
        <f t="shared" si="19"/>
        <v>24</v>
      </c>
      <c r="AX24" s="230">
        <f t="shared" si="20"/>
        <v>27</v>
      </c>
      <c r="AY24" s="229">
        <f t="shared" si="19"/>
        <v>24</v>
      </c>
      <c r="AZ24" s="230">
        <f t="shared" si="20"/>
        <v>27</v>
      </c>
      <c r="BA24" s="229">
        <f t="shared" si="21"/>
        <v>24</v>
      </c>
      <c r="BB24" s="230">
        <f t="shared" si="22"/>
        <v>27</v>
      </c>
      <c r="BC24" s="231" t="s">
        <v>153</v>
      </c>
      <c r="BD24" s="232" t="s">
        <v>153</v>
      </c>
      <c r="BE24" s="231" t="s">
        <v>153</v>
      </c>
      <c r="BF24" s="232" t="s">
        <v>153</v>
      </c>
      <c r="BG24" s="176" t="s">
        <v>153</v>
      </c>
      <c r="BH24" s="164" t="s">
        <v>153</v>
      </c>
    </row>
    <row r="25" spans="1:60" ht="21.95" customHeight="1" thickTop="1" thickBot="1" x14ac:dyDescent="0.35">
      <c r="A25" s="9"/>
      <c r="B25" s="79" t="s">
        <v>148</v>
      </c>
      <c r="C25" s="425" t="str">
        <f>IF(C14="parallel","",(C16-(C16/C23)*C24))</f>
        <v/>
      </c>
      <c r="D25" s="409"/>
      <c r="E25" s="410"/>
      <c r="F25" s="82" t="str">
        <f>IF(C14="parallel","","Lateral offset from edge of travelway to beginning of L.O.N.  - SEE CALCULATION BELOW")</f>
        <v/>
      </c>
      <c r="G25" s="68"/>
      <c r="H25" s="9"/>
      <c r="I25" s="9"/>
      <c r="J25" s="140" t="s">
        <v>15</v>
      </c>
      <c r="K25" s="33">
        <v>26</v>
      </c>
      <c r="L25" s="135">
        <v>19</v>
      </c>
      <c r="M25" s="109"/>
      <c r="N25" s="16"/>
      <c r="O25" s="16"/>
      <c r="P25" s="426" t="s">
        <v>169</v>
      </c>
      <c r="Q25" s="427"/>
      <c r="R25" s="427"/>
      <c r="S25" s="427"/>
      <c r="T25" s="427"/>
      <c r="U25" s="427"/>
      <c r="V25" s="428"/>
      <c r="W25" s="243"/>
      <c r="Z25" s="115">
        <v>35</v>
      </c>
      <c r="AA25" s="116">
        <v>4.5</v>
      </c>
      <c r="AB25" s="315"/>
      <c r="AC25" s="315"/>
      <c r="AD25" s="315"/>
      <c r="AF25" s="44" t="s">
        <v>75</v>
      </c>
      <c r="AG25" s="5" t="s">
        <v>31</v>
      </c>
      <c r="AH25" s="319" t="s">
        <v>17</v>
      </c>
      <c r="AI25" s="193">
        <v>20</v>
      </c>
      <c r="AJ25" s="201">
        <v>24</v>
      </c>
      <c r="AK25" s="215">
        <f t="shared" si="23"/>
        <v>24</v>
      </c>
      <c r="AL25" s="216">
        <f t="shared" si="10"/>
        <v>28.799999999999997</v>
      </c>
      <c r="AM25" s="215">
        <f t="shared" si="15"/>
        <v>24</v>
      </c>
      <c r="AN25" s="210">
        <f t="shared" si="10"/>
        <v>28.799999999999997</v>
      </c>
      <c r="AO25" s="215">
        <f t="shared" ref="AO25:AO31" si="24">$AI25*$AT$5</f>
        <v>22</v>
      </c>
      <c r="AP25" s="216">
        <f t="shared" si="10"/>
        <v>28.799999999999997</v>
      </c>
      <c r="AQ25" s="217">
        <f t="shared" si="16"/>
        <v>26</v>
      </c>
      <c r="AR25" s="218">
        <f t="shared" si="14"/>
        <v>31.200000000000003</v>
      </c>
      <c r="AS25" s="217">
        <f t="shared" si="16"/>
        <v>26</v>
      </c>
      <c r="AT25" s="218">
        <f t="shared" si="14"/>
        <v>31.200000000000003</v>
      </c>
      <c r="AU25" s="217">
        <f t="shared" si="16"/>
        <v>26</v>
      </c>
      <c r="AV25" s="219">
        <f t="shared" si="14"/>
        <v>31.200000000000003</v>
      </c>
      <c r="AW25" s="229">
        <f t="shared" si="19"/>
        <v>30</v>
      </c>
      <c r="AX25" s="230">
        <f t="shared" si="20"/>
        <v>36</v>
      </c>
      <c r="AY25" s="229">
        <f t="shared" si="19"/>
        <v>30</v>
      </c>
      <c r="AZ25" s="230">
        <f t="shared" si="20"/>
        <v>36</v>
      </c>
      <c r="BA25" s="229">
        <f t="shared" si="21"/>
        <v>30</v>
      </c>
      <c r="BB25" s="230">
        <f t="shared" si="22"/>
        <v>36</v>
      </c>
      <c r="BC25" s="231" t="s">
        <v>153</v>
      </c>
      <c r="BD25" s="232" t="s">
        <v>153</v>
      </c>
      <c r="BE25" s="231" t="s">
        <v>153</v>
      </c>
      <c r="BF25" s="232" t="s">
        <v>153</v>
      </c>
      <c r="BG25" s="176" t="s">
        <v>153</v>
      </c>
      <c r="BH25" s="164" t="s">
        <v>153</v>
      </c>
    </row>
    <row r="26" spans="1:60" ht="21.95" customHeight="1" thickBot="1" x14ac:dyDescent="0.4">
      <c r="A26" s="9"/>
      <c r="B26" s="56" t="str">
        <f>IF(C13="MASH","MASH GUARDRAIL ITEMS:","NCHRP 350 GUARDRAIL ITEMS:")</f>
        <v>MASH GUARDRAIL ITEMS:</v>
      </c>
      <c r="C26" s="289"/>
      <c r="D26" s="290" t="s">
        <v>162</v>
      </c>
      <c r="E26" s="317"/>
      <c r="F26" s="242" t="s">
        <v>164</v>
      </c>
      <c r="G26" s="242" t="s">
        <v>163</v>
      </c>
      <c r="H26" s="9"/>
      <c r="I26" s="9"/>
      <c r="J26" s="140" t="s">
        <v>16</v>
      </c>
      <c r="K26" s="33">
        <v>27</v>
      </c>
      <c r="L26" s="135">
        <v>20</v>
      </c>
      <c r="M26" s="109"/>
      <c r="N26" s="16"/>
      <c r="O26" s="16"/>
      <c r="P26" s="441" t="s">
        <v>166</v>
      </c>
      <c r="Q26" s="255" t="str">
        <f>IF(C14="parallel","N/A",C16)</f>
        <v>N/A</v>
      </c>
      <c r="R26" s="256" t="str">
        <f>C21</f>
        <v/>
      </c>
      <c r="S26" s="257">
        <f>C19</f>
        <v>50</v>
      </c>
      <c r="T26" s="258" t="str">
        <f>IF(C14="parallel","N/A",C17)</f>
        <v>N/A</v>
      </c>
      <c r="U26" s="259"/>
      <c r="V26" s="434" t="str">
        <f>IF(C14="parallel","N/A",C24)</f>
        <v>N/A</v>
      </c>
      <c r="W26" s="244"/>
      <c r="Z26" s="115">
        <v>40</v>
      </c>
      <c r="AA26" s="116">
        <v>5</v>
      </c>
      <c r="AB26" s="315"/>
      <c r="AC26" s="315"/>
      <c r="AD26" s="315"/>
      <c r="AF26" s="44" t="s">
        <v>75</v>
      </c>
      <c r="AG26" s="5" t="s">
        <v>32</v>
      </c>
      <c r="AH26" s="319" t="s">
        <v>17</v>
      </c>
      <c r="AI26" s="193">
        <v>26</v>
      </c>
      <c r="AJ26" s="201">
        <v>30</v>
      </c>
      <c r="AK26" s="215">
        <f t="shared" si="23"/>
        <v>31.2</v>
      </c>
      <c r="AL26" s="216">
        <f t="shared" si="10"/>
        <v>36</v>
      </c>
      <c r="AM26" s="215">
        <f t="shared" si="15"/>
        <v>31.2</v>
      </c>
      <c r="AN26" s="210">
        <f t="shared" si="10"/>
        <v>36</v>
      </c>
      <c r="AO26" s="215">
        <f t="shared" si="24"/>
        <v>28.6</v>
      </c>
      <c r="AP26" s="216">
        <f t="shared" si="10"/>
        <v>36</v>
      </c>
      <c r="AQ26" s="217">
        <f t="shared" si="16"/>
        <v>33.800000000000004</v>
      </c>
      <c r="AR26" s="218">
        <f t="shared" si="14"/>
        <v>39</v>
      </c>
      <c r="AS26" s="217">
        <f t="shared" si="16"/>
        <v>33.800000000000004</v>
      </c>
      <c r="AT26" s="218">
        <f t="shared" si="14"/>
        <v>39</v>
      </c>
      <c r="AU26" s="217">
        <f t="shared" si="16"/>
        <v>33.800000000000004</v>
      </c>
      <c r="AV26" s="219">
        <f t="shared" si="14"/>
        <v>39</v>
      </c>
      <c r="AW26" s="229">
        <f t="shared" si="19"/>
        <v>39</v>
      </c>
      <c r="AX26" s="230">
        <f t="shared" si="20"/>
        <v>45</v>
      </c>
      <c r="AY26" s="229">
        <f t="shared" si="19"/>
        <v>39</v>
      </c>
      <c r="AZ26" s="230">
        <f t="shared" si="20"/>
        <v>45</v>
      </c>
      <c r="BA26" s="229">
        <f t="shared" si="21"/>
        <v>39</v>
      </c>
      <c r="BB26" s="230">
        <f t="shared" si="22"/>
        <v>45</v>
      </c>
      <c r="BC26" s="231" t="s">
        <v>153</v>
      </c>
      <c r="BD26" s="232" t="s">
        <v>153</v>
      </c>
      <c r="BE26" s="231" t="s">
        <v>153</v>
      </c>
      <c r="BF26" s="232" t="s">
        <v>153</v>
      </c>
      <c r="BG26" s="176" t="s">
        <v>153</v>
      </c>
      <c r="BH26" s="164" t="s">
        <v>153</v>
      </c>
    </row>
    <row r="27" spans="1:60" ht="21.95" customHeight="1" thickBot="1" x14ac:dyDescent="0.4">
      <c r="A27" s="9"/>
      <c r="B27" s="79" t="str">
        <f>IF(C13="mash","Bridge Appr.Trans. Section (ft)","Bridge Anchor/Trans. Section (ft)")</f>
        <v>Bridge Appr.Trans. Section (ft)</v>
      </c>
      <c r="C27" s="436">
        <f>IF(AND(C12="no"),0,IF(OR(C13="mash"),37.5,IF(OR(D12="Safety Barrier-Reg. or No Curb"),18.75,IF(OR(D12="Thrie Beam Rail"),25,IF(OR(D12="Safety Barrier-Extended Curb"),18.75)))))</f>
        <v>37.5</v>
      </c>
      <c r="D27" s="418"/>
      <c r="E27" s="419"/>
      <c r="F27" s="66" t="str">
        <f>IF(C12="yes","(REQUIRED for Safety Barrier or Thrie Rail if L.O.N.(X) is greater than 0), Included in L.O.N.","Not Required when there is no bridge attachment")</f>
        <v>(REQUIRED for Safety Barrier or Thrie Rail if L.O.N.(X) is greater than 0), Included in L.O.N.</v>
      </c>
      <c r="G27" s="67"/>
      <c r="H27" s="9"/>
      <c r="I27" s="9"/>
      <c r="J27" s="140" t="s">
        <v>17</v>
      </c>
      <c r="K27" s="33">
        <v>28</v>
      </c>
      <c r="L27" s="135">
        <v>21</v>
      </c>
      <c r="M27" s="109"/>
      <c r="N27" s="106"/>
      <c r="O27" s="16"/>
      <c r="P27" s="442"/>
      <c r="Q27" s="260" t="str">
        <f>C21</f>
        <v/>
      </c>
      <c r="R27" s="261" t="str">
        <f>IF(C14="parallel","N/A",C16)</f>
        <v>N/A</v>
      </c>
      <c r="S27" s="262" t="s">
        <v>165</v>
      </c>
      <c r="T27" s="263" t="str">
        <f>IF(C14="parallel","N/A",AA4)</f>
        <v>N/A</v>
      </c>
      <c r="U27" s="264"/>
      <c r="V27" s="435"/>
      <c r="W27" s="244"/>
      <c r="Z27" s="115">
        <v>45</v>
      </c>
      <c r="AA27" s="116">
        <v>6</v>
      </c>
      <c r="AB27" s="315"/>
      <c r="AC27" s="315"/>
      <c r="AD27" s="315"/>
      <c r="AF27" s="44" t="s">
        <v>75</v>
      </c>
      <c r="AG27" s="5" t="s">
        <v>88</v>
      </c>
      <c r="AH27" s="319" t="s">
        <v>17</v>
      </c>
      <c r="AI27" s="193">
        <v>30</v>
      </c>
      <c r="AJ27" s="201">
        <v>32</v>
      </c>
      <c r="AK27" s="215">
        <f t="shared" si="23"/>
        <v>36</v>
      </c>
      <c r="AL27" s="216">
        <f t="shared" si="10"/>
        <v>38.4</v>
      </c>
      <c r="AM27" s="215">
        <f t="shared" si="15"/>
        <v>36</v>
      </c>
      <c r="AN27" s="210">
        <f t="shared" si="10"/>
        <v>38.4</v>
      </c>
      <c r="AO27" s="215">
        <f t="shared" si="24"/>
        <v>33</v>
      </c>
      <c r="AP27" s="216">
        <f t="shared" si="10"/>
        <v>38.4</v>
      </c>
      <c r="AQ27" s="217">
        <f t="shared" si="16"/>
        <v>39</v>
      </c>
      <c r="AR27" s="218">
        <f t="shared" si="14"/>
        <v>41.6</v>
      </c>
      <c r="AS27" s="217">
        <f t="shared" si="16"/>
        <v>39</v>
      </c>
      <c r="AT27" s="218">
        <f t="shared" si="14"/>
        <v>41.6</v>
      </c>
      <c r="AU27" s="217">
        <f t="shared" si="16"/>
        <v>39</v>
      </c>
      <c r="AV27" s="219">
        <f t="shared" si="14"/>
        <v>41.6</v>
      </c>
      <c r="AW27" s="229">
        <f t="shared" si="19"/>
        <v>45</v>
      </c>
      <c r="AX27" s="230">
        <f t="shared" si="20"/>
        <v>48</v>
      </c>
      <c r="AY27" s="229">
        <f t="shared" si="19"/>
        <v>45</v>
      </c>
      <c r="AZ27" s="230">
        <f t="shared" si="20"/>
        <v>48</v>
      </c>
      <c r="BA27" s="229">
        <f t="shared" si="21"/>
        <v>45</v>
      </c>
      <c r="BB27" s="230">
        <f t="shared" si="22"/>
        <v>48</v>
      </c>
      <c r="BC27" s="231" t="s">
        <v>153</v>
      </c>
      <c r="BD27" s="232" t="s">
        <v>153</v>
      </c>
      <c r="BE27" s="231" t="s">
        <v>153</v>
      </c>
      <c r="BF27" s="232" t="s">
        <v>153</v>
      </c>
      <c r="BG27" s="176" t="s">
        <v>153</v>
      </c>
      <c r="BH27" s="164" t="s">
        <v>153</v>
      </c>
    </row>
    <row r="28" spans="1:60" ht="21.95" customHeight="1" thickBot="1" x14ac:dyDescent="0.35">
      <c r="A28" s="9"/>
      <c r="B28" s="79" t="s">
        <v>179</v>
      </c>
      <c r="C28" s="437">
        <f>IF(AND(C12="yes"),0,IF(AND(C13="nchrp 350"),6.25,14.25))</f>
        <v>0</v>
      </c>
      <c r="D28" s="409"/>
      <c r="E28" s="410"/>
      <c r="F28" s="66" t="str">
        <f>IF(C12="NO","End Anchor NOT included in L.O.N.","Not needed with Bridge Attachment")</f>
        <v>Not needed with Bridge Attachment</v>
      </c>
      <c r="G28" s="69"/>
      <c r="H28" s="9"/>
      <c r="I28" s="9"/>
      <c r="J28" s="140" t="s">
        <v>18</v>
      </c>
      <c r="K28" s="33">
        <v>29</v>
      </c>
      <c r="L28" s="135">
        <v>22</v>
      </c>
      <c r="M28" s="109"/>
      <c r="N28" s="107"/>
      <c r="O28" s="16"/>
      <c r="P28" s="265" t="s">
        <v>168</v>
      </c>
      <c r="Q28" s="266" t="str">
        <f>IF(C14="parallel","N/A",C16)</f>
        <v>N/A</v>
      </c>
      <c r="R28" s="267" t="str">
        <f>IF(C14="parallel","N/A",C16)</f>
        <v>N/A</v>
      </c>
      <c r="S28" s="268" t="s">
        <v>165</v>
      </c>
      <c r="T28" s="269" t="str">
        <f>IF(C14="parallel","N/A",AA4)</f>
        <v>N/A</v>
      </c>
      <c r="U28" s="270" t="str">
        <f>IF(C14="parallel","N/A",C24)</f>
        <v>N/A</v>
      </c>
      <c r="V28" s="271" t="str">
        <f>IF(C14="parallel","N/A",C25)</f>
        <v>N/A</v>
      </c>
      <c r="W28" s="27"/>
      <c r="Z28" s="115">
        <v>50</v>
      </c>
      <c r="AA28" s="116">
        <v>6.5</v>
      </c>
      <c r="AB28" s="315"/>
      <c r="AC28" s="315"/>
      <c r="AD28" s="315"/>
      <c r="AF28" s="44" t="s">
        <v>96</v>
      </c>
      <c r="AG28" s="5" t="s">
        <v>89</v>
      </c>
      <c r="AH28" s="319" t="s">
        <v>17</v>
      </c>
      <c r="AI28" s="193">
        <v>18</v>
      </c>
      <c r="AJ28" s="201">
        <v>20</v>
      </c>
      <c r="AK28" s="215">
        <f t="shared" si="23"/>
        <v>21.599999999999998</v>
      </c>
      <c r="AL28" s="216">
        <f t="shared" ref="AL28:AL35" si="25">$AJ28*$AV$5</f>
        <v>24</v>
      </c>
      <c r="AM28" s="215">
        <f t="shared" si="15"/>
        <v>21.599999999999998</v>
      </c>
      <c r="AN28" s="210">
        <f t="shared" ref="AN28:AN31" si="26">$AJ28*$AV$5</f>
        <v>24</v>
      </c>
      <c r="AO28" s="215">
        <f t="shared" si="24"/>
        <v>19.8</v>
      </c>
      <c r="AP28" s="216">
        <f t="shared" ref="AP28:AP31" si="27">$AJ28*$AV$5</f>
        <v>24</v>
      </c>
      <c r="AQ28" s="217">
        <f t="shared" si="16"/>
        <v>23.400000000000002</v>
      </c>
      <c r="AR28" s="218">
        <f t="shared" si="14"/>
        <v>26</v>
      </c>
      <c r="AS28" s="225">
        <f t="shared" ref="AS28:AS31" si="28">$AI28*$AZ$5</f>
        <v>25.2</v>
      </c>
      <c r="AT28" s="226">
        <f t="shared" ref="AT28:AT31" si="29">$AJ28*$AZ$5</f>
        <v>28</v>
      </c>
      <c r="AU28" s="225">
        <f t="shared" ref="AU28:AU31" si="30">$AI28*$AZ$5</f>
        <v>25.2</v>
      </c>
      <c r="AV28" s="220">
        <f t="shared" ref="AV28:AV31" si="31">$AJ28*$AZ$5</f>
        <v>28</v>
      </c>
      <c r="AW28" s="229">
        <f t="shared" ref="AW28:AW31" si="32">$AI28*$BB$5</f>
        <v>27</v>
      </c>
      <c r="AX28" s="230">
        <f t="shared" ref="AX28:AX31" si="33">$AJ28*$BB$5</f>
        <v>30</v>
      </c>
      <c r="AY28" s="231" t="s">
        <v>153</v>
      </c>
      <c r="AZ28" s="232" t="s">
        <v>153</v>
      </c>
      <c r="BA28" s="231" t="s">
        <v>153</v>
      </c>
      <c r="BB28" s="232" t="s">
        <v>153</v>
      </c>
      <c r="BC28" s="231" t="s">
        <v>153</v>
      </c>
      <c r="BD28" s="232" t="s">
        <v>153</v>
      </c>
      <c r="BE28" s="231" t="s">
        <v>153</v>
      </c>
      <c r="BF28" s="232" t="s">
        <v>153</v>
      </c>
      <c r="BG28" s="176" t="s">
        <v>153</v>
      </c>
      <c r="BH28" s="164" t="s">
        <v>153</v>
      </c>
    </row>
    <row r="29" spans="1:60" ht="21.95" customHeight="1" x14ac:dyDescent="0.3">
      <c r="A29" s="9"/>
      <c r="B29" s="446" t="str">
        <f>IF(C13="mash","MASH Crashworthy End Terminal (ft)","Type A Crashworthy End Terminal (ft)")</f>
        <v>MASH Crashworthy End Terminal (ft)</v>
      </c>
      <c r="C29" s="438">
        <f>IF(C13="nchrp 350",37.5,34.25)</f>
        <v>34.25</v>
      </c>
      <c r="D29" s="439"/>
      <c r="E29" s="440"/>
      <c r="F29" s="70" t="s">
        <v>180</v>
      </c>
      <c r="G29" s="71"/>
      <c r="H29" s="11"/>
      <c r="I29" s="9"/>
      <c r="J29" s="140" t="s">
        <v>19</v>
      </c>
      <c r="K29" s="33">
        <v>30</v>
      </c>
      <c r="L29" s="135">
        <v>23</v>
      </c>
      <c r="M29" s="109"/>
      <c r="N29" s="107"/>
      <c r="O29" s="108"/>
      <c r="P29" s="246"/>
      <c r="Q29" s="247"/>
      <c r="R29" s="245"/>
      <c r="V29" s="248"/>
      <c r="Z29" s="115">
        <v>55</v>
      </c>
      <c r="AA29" s="116">
        <v>7</v>
      </c>
      <c r="AB29" s="315"/>
      <c r="AC29" s="315"/>
      <c r="AD29" s="315"/>
      <c r="AF29" s="44" t="s">
        <v>96</v>
      </c>
      <c r="AG29" s="5" t="s">
        <v>31</v>
      </c>
      <c r="AH29" s="319" t="s">
        <v>17</v>
      </c>
      <c r="AI29" s="193">
        <v>24</v>
      </c>
      <c r="AJ29" s="201">
        <v>26</v>
      </c>
      <c r="AK29" s="215">
        <f t="shared" si="23"/>
        <v>28.799999999999997</v>
      </c>
      <c r="AL29" s="216">
        <f t="shared" si="25"/>
        <v>31.2</v>
      </c>
      <c r="AM29" s="215">
        <f t="shared" si="15"/>
        <v>28.799999999999997</v>
      </c>
      <c r="AN29" s="210">
        <f t="shared" si="26"/>
        <v>31.2</v>
      </c>
      <c r="AO29" s="215">
        <f t="shared" si="24"/>
        <v>26.400000000000002</v>
      </c>
      <c r="AP29" s="216">
        <f t="shared" si="27"/>
        <v>31.2</v>
      </c>
      <c r="AQ29" s="217">
        <f t="shared" si="16"/>
        <v>31.200000000000003</v>
      </c>
      <c r="AR29" s="218">
        <f t="shared" si="14"/>
        <v>33.800000000000004</v>
      </c>
      <c r="AS29" s="225">
        <f t="shared" si="28"/>
        <v>33.599999999999994</v>
      </c>
      <c r="AT29" s="226">
        <f t="shared" si="29"/>
        <v>36.4</v>
      </c>
      <c r="AU29" s="225">
        <f t="shared" si="30"/>
        <v>33.599999999999994</v>
      </c>
      <c r="AV29" s="220">
        <f t="shared" si="31"/>
        <v>36.4</v>
      </c>
      <c r="AW29" s="229">
        <f t="shared" si="32"/>
        <v>36</v>
      </c>
      <c r="AX29" s="230">
        <f t="shared" si="33"/>
        <v>39</v>
      </c>
      <c r="AY29" s="231" t="s">
        <v>153</v>
      </c>
      <c r="AZ29" s="232" t="s">
        <v>153</v>
      </c>
      <c r="BA29" s="231" t="s">
        <v>153</v>
      </c>
      <c r="BB29" s="232" t="s">
        <v>153</v>
      </c>
      <c r="BC29" s="231" t="s">
        <v>153</v>
      </c>
      <c r="BD29" s="232" t="s">
        <v>153</v>
      </c>
      <c r="BE29" s="231" t="s">
        <v>153</v>
      </c>
      <c r="BF29" s="232" t="s">
        <v>153</v>
      </c>
      <c r="BG29" s="176" t="s">
        <v>153</v>
      </c>
      <c r="BH29" s="164" t="s">
        <v>153</v>
      </c>
    </row>
    <row r="30" spans="1:60" ht="21.95" customHeight="1" thickBot="1" x14ac:dyDescent="0.35">
      <c r="A30" s="9"/>
      <c r="B30" s="447"/>
      <c r="C30" s="430">
        <f>IF(C13="nchrp 350",12.5,16.5)</f>
        <v>16.5</v>
      </c>
      <c r="D30" s="431"/>
      <c r="E30" s="432"/>
      <c r="F30" s="72" t="s">
        <v>212</v>
      </c>
      <c r="G30" s="73"/>
      <c r="H30" s="9"/>
      <c r="I30" s="9"/>
      <c r="J30" s="140" t="s">
        <v>20</v>
      </c>
      <c r="K30" s="33">
        <v>31</v>
      </c>
      <c r="L30" s="135">
        <v>24</v>
      </c>
      <c r="M30" s="109"/>
      <c r="N30" s="107"/>
      <c r="O30" s="108"/>
      <c r="Z30" s="115">
        <v>60</v>
      </c>
      <c r="AA30" s="116">
        <v>8</v>
      </c>
      <c r="AB30" s="315"/>
      <c r="AC30" s="315"/>
      <c r="AD30" s="315"/>
      <c r="AF30" s="44" t="s">
        <v>96</v>
      </c>
      <c r="AG30" s="5" t="s">
        <v>32</v>
      </c>
      <c r="AH30" s="319" t="s">
        <v>17</v>
      </c>
      <c r="AI30" s="193">
        <v>28</v>
      </c>
      <c r="AJ30" s="201">
        <v>32</v>
      </c>
      <c r="AK30" s="215">
        <f t="shared" si="23"/>
        <v>33.6</v>
      </c>
      <c r="AL30" s="216">
        <f t="shared" si="25"/>
        <v>38.4</v>
      </c>
      <c r="AM30" s="215">
        <f t="shared" si="15"/>
        <v>33.6</v>
      </c>
      <c r="AN30" s="210">
        <f t="shared" si="26"/>
        <v>38.4</v>
      </c>
      <c r="AO30" s="215">
        <f t="shared" si="24"/>
        <v>30.800000000000004</v>
      </c>
      <c r="AP30" s="216">
        <f t="shared" si="27"/>
        <v>38.4</v>
      </c>
      <c r="AQ30" s="217">
        <f t="shared" si="16"/>
        <v>36.4</v>
      </c>
      <c r="AR30" s="218">
        <f t="shared" si="14"/>
        <v>41.6</v>
      </c>
      <c r="AS30" s="225">
        <f t="shared" si="28"/>
        <v>39.199999999999996</v>
      </c>
      <c r="AT30" s="226">
        <f t="shared" si="29"/>
        <v>44.8</v>
      </c>
      <c r="AU30" s="225">
        <f t="shared" si="30"/>
        <v>39.199999999999996</v>
      </c>
      <c r="AV30" s="220">
        <f t="shared" si="31"/>
        <v>44.8</v>
      </c>
      <c r="AW30" s="229">
        <f t="shared" si="32"/>
        <v>42</v>
      </c>
      <c r="AX30" s="230">
        <f t="shared" si="33"/>
        <v>48</v>
      </c>
      <c r="AY30" s="231" t="s">
        <v>153</v>
      </c>
      <c r="AZ30" s="232" t="s">
        <v>153</v>
      </c>
      <c r="BA30" s="231" t="s">
        <v>153</v>
      </c>
      <c r="BB30" s="232" t="s">
        <v>153</v>
      </c>
      <c r="BC30" s="231" t="s">
        <v>153</v>
      </c>
      <c r="BD30" s="232" t="s">
        <v>153</v>
      </c>
      <c r="BE30" s="231" t="s">
        <v>153</v>
      </c>
      <c r="BF30" s="232" t="s">
        <v>153</v>
      </c>
      <c r="BG30" s="176" t="s">
        <v>153</v>
      </c>
      <c r="BH30" s="164" t="s">
        <v>153</v>
      </c>
    </row>
    <row r="31" spans="1:60" ht="21.95" customHeight="1" thickBot="1" x14ac:dyDescent="0.35">
      <c r="A31" s="9"/>
      <c r="B31" s="79" t="s">
        <v>183</v>
      </c>
      <c r="C31" s="433">
        <f>IF(C24-C27-C29&gt;0,CEILING((C24-C27-C29),12.5),IF(D12="Safety Barrier-Extended Curb",12.5,0))</f>
        <v>12.5</v>
      </c>
      <c r="D31" s="409"/>
      <c r="E31" s="410"/>
      <c r="F31" s="348" t="str">
        <f>IF(C24&lt;=0,"LON(X) 0 or less - No Guardrail Required","Guardrail Required")</f>
        <v>Guardrail Required</v>
      </c>
      <c r="G31" s="349" t="str">
        <f>IF(D12="Safety Barrier-Extended Curb","SEE STD. PLAN 606.60B - FOR EXTENDED CURB","")</f>
        <v/>
      </c>
      <c r="H31" s="9"/>
      <c r="I31" s="9"/>
      <c r="J31" s="133"/>
      <c r="K31" s="33">
        <v>32</v>
      </c>
      <c r="L31" s="135">
        <v>25</v>
      </c>
      <c r="M31" s="109"/>
      <c r="N31" s="107"/>
      <c r="O31" s="108"/>
      <c r="Z31" s="115">
        <v>65</v>
      </c>
      <c r="AA31" s="116">
        <v>8.5</v>
      </c>
      <c r="AB31" s="315"/>
      <c r="AC31" s="315"/>
      <c r="AD31" s="315"/>
      <c r="AF31" s="44" t="s">
        <v>96</v>
      </c>
      <c r="AG31" s="5" t="s">
        <v>88</v>
      </c>
      <c r="AH31" s="319" t="s">
        <v>17</v>
      </c>
      <c r="AI31" s="193">
        <v>30</v>
      </c>
      <c r="AJ31" s="201">
        <v>34</v>
      </c>
      <c r="AK31" s="215">
        <f t="shared" si="23"/>
        <v>36</v>
      </c>
      <c r="AL31" s="216">
        <f t="shared" si="25"/>
        <v>40.799999999999997</v>
      </c>
      <c r="AM31" s="215">
        <f t="shared" si="15"/>
        <v>36</v>
      </c>
      <c r="AN31" s="210">
        <f t="shared" si="26"/>
        <v>40.799999999999997</v>
      </c>
      <c r="AO31" s="215">
        <f t="shared" si="24"/>
        <v>33</v>
      </c>
      <c r="AP31" s="216">
        <f t="shared" si="27"/>
        <v>40.799999999999997</v>
      </c>
      <c r="AQ31" s="217">
        <f t="shared" si="16"/>
        <v>39</v>
      </c>
      <c r="AR31" s="218">
        <f t="shared" si="14"/>
        <v>44.2</v>
      </c>
      <c r="AS31" s="225">
        <f t="shared" si="28"/>
        <v>42</v>
      </c>
      <c r="AT31" s="226">
        <f t="shared" si="29"/>
        <v>47.599999999999994</v>
      </c>
      <c r="AU31" s="225">
        <f t="shared" si="30"/>
        <v>42</v>
      </c>
      <c r="AV31" s="220">
        <f t="shared" si="31"/>
        <v>47.599999999999994</v>
      </c>
      <c r="AW31" s="229">
        <f t="shared" si="32"/>
        <v>45</v>
      </c>
      <c r="AX31" s="230">
        <f t="shared" si="33"/>
        <v>51</v>
      </c>
      <c r="AY31" s="231" t="s">
        <v>153</v>
      </c>
      <c r="AZ31" s="232" t="s">
        <v>153</v>
      </c>
      <c r="BA31" s="231" t="s">
        <v>153</v>
      </c>
      <c r="BB31" s="232" t="s">
        <v>153</v>
      </c>
      <c r="BC31" s="231" t="s">
        <v>153</v>
      </c>
      <c r="BD31" s="232" t="s">
        <v>153</v>
      </c>
      <c r="BE31" s="231" t="s">
        <v>153</v>
      </c>
      <c r="BF31" s="232" t="s">
        <v>153</v>
      </c>
      <c r="BG31" s="176" t="s">
        <v>153</v>
      </c>
      <c r="BH31" s="164" t="s">
        <v>153</v>
      </c>
    </row>
    <row r="32" spans="1:60" ht="20.100000000000001" customHeight="1" x14ac:dyDescent="0.3">
      <c r="A32" s="9"/>
      <c r="B32" s="19"/>
      <c r="C32" s="20"/>
      <c r="D32" s="20"/>
      <c r="E32" s="20"/>
      <c r="F32" s="20"/>
      <c r="G32" s="21"/>
      <c r="H32" s="9"/>
      <c r="I32" s="9"/>
      <c r="J32" s="141"/>
      <c r="K32" s="33">
        <v>33</v>
      </c>
      <c r="L32" s="135">
        <v>26</v>
      </c>
      <c r="M32" s="109"/>
      <c r="N32" s="107"/>
      <c r="O32" s="108"/>
      <c r="Z32" s="115">
        <v>70</v>
      </c>
      <c r="AA32" s="116">
        <v>9</v>
      </c>
      <c r="AB32" s="315"/>
      <c r="AC32" s="315"/>
      <c r="AD32" s="315"/>
      <c r="AF32" s="44" t="s">
        <v>97</v>
      </c>
      <c r="AG32" s="5" t="s">
        <v>89</v>
      </c>
      <c r="AH32" s="319" t="s">
        <v>17</v>
      </c>
      <c r="AI32" s="193">
        <v>18</v>
      </c>
      <c r="AJ32" s="201">
        <v>20</v>
      </c>
      <c r="AK32" s="215">
        <f t="shared" si="23"/>
        <v>21.599999999999998</v>
      </c>
      <c r="AL32" s="216">
        <f t="shared" si="25"/>
        <v>24</v>
      </c>
      <c r="AM32" s="217">
        <f>$AI32*$AX$5</f>
        <v>23.400000000000002</v>
      </c>
      <c r="AN32" s="219">
        <f t="shared" ref="AN32:AN35" si="34">$AJ32*$AX$5</f>
        <v>26</v>
      </c>
      <c r="AO32" s="225">
        <f t="shared" ref="AO32:AO35" si="35">$AI32*$AZ$5</f>
        <v>25.2</v>
      </c>
      <c r="AP32" s="226">
        <f t="shared" ref="AP32:AP35" si="36">$AJ32*$AZ$5</f>
        <v>28</v>
      </c>
      <c r="AQ32" s="225">
        <f t="shared" ref="AQ32:AQ35" si="37">$AI32*$AZ$5</f>
        <v>25.2</v>
      </c>
      <c r="AR32" s="226">
        <f t="shared" ref="AR32:AR35" si="38">$AJ32*$AZ$5</f>
        <v>28</v>
      </c>
      <c r="AS32" s="229">
        <f t="shared" ref="AS32:AS35" si="39">$AI32*$BB$5</f>
        <v>27</v>
      </c>
      <c r="AT32" s="230">
        <f t="shared" ref="AT32:AT35" si="40">$AJ32*$BB$5</f>
        <v>30</v>
      </c>
      <c r="AU32" s="231" t="s">
        <v>153</v>
      </c>
      <c r="AV32" s="235" t="s">
        <v>153</v>
      </c>
      <c r="AW32" s="231" t="s">
        <v>153</v>
      </c>
      <c r="AX32" s="232" t="s">
        <v>153</v>
      </c>
      <c r="AY32" s="231" t="s">
        <v>153</v>
      </c>
      <c r="AZ32" s="232" t="s">
        <v>153</v>
      </c>
      <c r="BA32" s="231" t="s">
        <v>153</v>
      </c>
      <c r="BB32" s="232" t="s">
        <v>153</v>
      </c>
      <c r="BC32" s="231" t="s">
        <v>153</v>
      </c>
      <c r="BD32" s="232" t="s">
        <v>153</v>
      </c>
      <c r="BE32" s="231" t="s">
        <v>153</v>
      </c>
      <c r="BF32" s="232" t="s">
        <v>153</v>
      </c>
      <c r="BG32" s="176" t="s">
        <v>153</v>
      </c>
      <c r="BH32" s="164" t="s">
        <v>153</v>
      </c>
    </row>
    <row r="33" spans="1:60" ht="19.5" customHeight="1" thickBot="1" x14ac:dyDescent="0.35">
      <c r="A33" s="9"/>
      <c r="B33" s="22"/>
      <c r="C33" s="31"/>
      <c r="D33" s="31"/>
      <c r="E33" s="31"/>
      <c r="F33" s="31"/>
      <c r="G33" s="23"/>
      <c r="H33" s="9"/>
      <c r="I33" s="9"/>
      <c r="K33" s="33">
        <v>34</v>
      </c>
      <c r="L33" s="135">
        <v>27</v>
      </c>
      <c r="M33" s="109"/>
      <c r="N33" s="107"/>
      <c r="O33" s="108"/>
      <c r="Z33" s="117">
        <v>80</v>
      </c>
      <c r="AA33" s="119">
        <v>12</v>
      </c>
      <c r="AB33" s="315"/>
      <c r="AC33" s="315"/>
      <c r="AD33" s="315"/>
      <c r="AF33" s="44" t="s">
        <v>97</v>
      </c>
      <c r="AG33" s="5" t="s">
        <v>31</v>
      </c>
      <c r="AH33" s="319" t="s">
        <v>17</v>
      </c>
      <c r="AI33" s="193">
        <v>24</v>
      </c>
      <c r="AJ33" s="201">
        <v>26</v>
      </c>
      <c r="AK33" s="215">
        <f t="shared" si="23"/>
        <v>28.799999999999997</v>
      </c>
      <c r="AL33" s="216">
        <f t="shared" si="25"/>
        <v>31.2</v>
      </c>
      <c r="AM33" s="217">
        <f t="shared" ref="AM33:AM35" si="41">$AI33*$AX$5</f>
        <v>31.200000000000003</v>
      </c>
      <c r="AN33" s="219">
        <f t="shared" si="34"/>
        <v>33.800000000000004</v>
      </c>
      <c r="AO33" s="225">
        <f t="shared" si="35"/>
        <v>33.599999999999994</v>
      </c>
      <c r="AP33" s="226">
        <f t="shared" si="36"/>
        <v>36.4</v>
      </c>
      <c r="AQ33" s="225">
        <f t="shared" si="37"/>
        <v>33.599999999999994</v>
      </c>
      <c r="AR33" s="226">
        <f t="shared" si="38"/>
        <v>36.4</v>
      </c>
      <c r="AS33" s="229">
        <f t="shared" si="39"/>
        <v>36</v>
      </c>
      <c r="AT33" s="230">
        <f t="shared" si="40"/>
        <v>39</v>
      </c>
      <c r="AU33" s="231" t="s">
        <v>153</v>
      </c>
      <c r="AV33" s="235" t="s">
        <v>153</v>
      </c>
      <c r="AW33" s="231" t="s">
        <v>153</v>
      </c>
      <c r="AX33" s="232" t="s">
        <v>153</v>
      </c>
      <c r="AY33" s="231" t="s">
        <v>153</v>
      </c>
      <c r="AZ33" s="232" t="s">
        <v>153</v>
      </c>
      <c r="BA33" s="231" t="s">
        <v>153</v>
      </c>
      <c r="BB33" s="232" t="s">
        <v>153</v>
      </c>
      <c r="BC33" s="231" t="s">
        <v>153</v>
      </c>
      <c r="BD33" s="232" t="s">
        <v>153</v>
      </c>
      <c r="BE33" s="231" t="s">
        <v>153</v>
      </c>
      <c r="BF33" s="232" t="s">
        <v>153</v>
      </c>
      <c r="BG33" s="176" t="s">
        <v>153</v>
      </c>
      <c r="BH33" s="164" t="s">
        <v>153</v>
      </c>
    </row>
    <row r="34" spans="1:60" ht="20.100000000000001" customHeight="1" thickTop="1" x14ac:dyDescent="0.3">
      <c r="A34" s="9"/>
      <c r="B34" s="22"/>
      <c r="C34" s="31"/>
      <c r="D34" s="31"/>
      <c r="E34" s="31"/>
      <c r="F34" s="31"/>
      <c r="G34" s="23"/>
      <c r="H34" s="9"/>
      <c r="I34" s="9"/>
      <c r="J34" s="141" t="s">
        <v>90</v>
      </c>
      <c r="K34" s="33">
        <v>35</v>
      </c>
      <c r="L34" s="135">
        <v>28</v>
      </c>
      <c r="M34" s="109"/>
      <c r="N34" s="107"/>
      <c r="O34" s="108"/>
      <c r="AF34" s="44" t="s">
        <v>97</v>
      </c>
      <c r="AG34" s="5" t="s">
        <v>32</v>
      </c>
      <c r="AH34" s="319" t="s">
        <v>17</v>
      </c>
      <c r="AI34" s="193">
        <v>28</v>
      </c>
      <c r="AJ34" s="201">
        <v>32</v>
      </c>
      <c r="AK34" s="215">
        <f t="shared" si="23"/>
        <v>33.6</v>
      </c>
      <c r="AL34" s="216">
        <f t="shared" si="25"/>
        <v>38.4</v>
      </c>
      <c r="AM34" s="217">
        <f t="shared" si="41"/>
        <v>36.4</v>
      </c>
      <c r="AN34" s="219">
        <f t="shared" si="34"/>
        <v>41.6</v>
      </c>
      <c r="AO34" s="225">
        <f t="shared" si="35"/>
        <v>39.199999999999996</v>
      </c>
      <c r="AP34" s="226">
        <f t="shared" si="36"/>
        <v>44.8</v>
      </c>
      <c r="AQ34" s="225">
        <f t="shared" si="37"/>
        <v>39.199999999999996</v>
      </c>
      <c r="AR34" s="226">
        <f t="shared" si="38"/>
        <v>44.8</v>
      </c>
      <c r="AS34" s="229">
        <f t="shared" si="39"/>
        <v>42</v>
      </c>
      <c r="AT34" s="230">
        <f t="shared" si="40"/>
        <v>48</v>
      </c>
      <c r="AU34" s="231" t="s">
        <v>153</v>
      </c>
      <c r="AV34" s="235" t="s">
        <v>153</v>
      </c>
      <c r="AW34" s="231" t="s">
        <v>153</v>
      </c>
      <c r="AX34" s="232" t="s">
        <v>153</v>
      </c>
      <c r="AY34" s="231" t="s">
        <v>153</v>
      </c>
      <c r="AZ34" s="232" t="s">
        <v>153</v>
      </c>
      <c r="BA34" s="231" t="s">
        <v>153</v>
      </c>
      <c r="BB34" s="232" t="s">
        <v>153</v>
      </c>
      <c r="BC34" s="231" t="s">
        <v>153</v>
      </c>
      <c r="BD34" s="232" t="s">
        <v>153</v>
      </c>
      <c r="BE34" s="231" t="s">
        <v>153</v>
      </c>
      <c r="BF34" s="232" t="s">
        <v>153</v>
      </c>
      <c r="BG34" s="176" t="s">
        <v>153</v>
      </c>
      <c r="BH34" s="164" t="s">
        <v>153</v>
      </c>
    </row>
    <row r="35" spans="1:60" ht="20.100000000000001" customHeight="1" x14ac:dyDescent="0.3">
      <c r="A35" s="9"/>
      <c r="B35" s="22"/>
      <c r="C35" s="31"/>
      <c r="D35" s="31"/>
      <c r="E35" s="31"/>
      <c r="F35" s="31"/>
      <c r="G35" s="23"/>
      <c r="H35" s="9"/>
      <c r="I35" s="9"/>
      <c r="J35" s="138" t="s">
        <v>92</v>
      </c>
      <c r="K35" s="33">
        <v>36</v>
      </c>
      <c r="L35" s="135">
        <v>29</v>
      </c>
      <c r="M35" s="109"/>
      <c r="N35" s="107"/>
      <c r="O35" s="108"/>
      <c r="AF35" s="42" t="s">
        <v>97</v>
      </c>
      <c r="AG35" s="34" t="s">
        <v>88</v>
      </c>
      <c r="AH35" s="321" t="s">
        <v>17</v>
      </c>
      <c r="AI35" s="194">
        <v>30</v>
      </c>
      <c r="AJ35" s="202">
        <v>34</v>
      </c>
      <c r="AK35" s="215">
        <f t="shared" si="23"/>
        <v>36</v>
      </c>
      <c r="AL35" s="216">
        <f t="shared" si="25"/>
        <v>40.799999999999997</v>
      </c>
      <c r="AM35" s="217">
        <f t="shared" si="41"/>
        <v>39</v>
      </c>
      <c r="AN35" s="219">
        <f t="shared" si="34"/>
        <v>44.2</v>
      </c>
      <c r="AO35" s="225">
        <f t="shared" si="35"/>
        <v>42</v>
      </c>
      <c r="AP35" s="226">
        <f t="shared" si="36"/>
        <v>47.599999999999994</v>
      </c>
      <c r="AQ35" s="225">
        <f t="shared" si="37"/>
        <v>42</v>
      </c>
      <c r="AR35" s="226">
        <f t="shared" si="38"/>
        <v>47.599999999999994</v>
      </c>
      <c r="AS35" s="229">
        <f t="shared" si="39"/>
        <v>45</v>
      </c>
      <c r="AT35" s="230">
        <f t="shared" si="40"/>
        <v>51</v>
      </c>
      <c r="AU35" s="233" t="s">
        <v>153</v>
      </c>
      <c r="AV35" s="236" t="s">
        <v>153</v>
      </c>
      <c r="AW35" s="233" t="s">
        <v>153</v>
      </c>
      <c r="AX35" s="234" t="s">
        <v>153</v>
      </c>
      <c r="AY35" s="231" t="s">
        <v>153</v>
      </c>
      <c r="AZ35" s="234" t="s">
        <v>153</v>
      </c>
      <c r="BA35" s="233" t="s">
        <v>153</v>
      </c>
      <c r="BB35" s="234" t="s">
        <v>153</v>
      </c>
      <c r="BC35" s="231" t="s">
        <v>153</v>
      </c>
      <c r="BD35" s="234" t="s">
        <v>153</v>
      </c>
      <c r="BE35" s="231" t="s">
        <v>153</v>
      </c>
      <c r="BF35" s="234" t="s">
        <v>153</v>
      </c>
      <c r="BG35" s="176" t="s">
        <v>153</v>
      </c>
      <c r="BH35" s="164" t="s">
        <v>153</v>
      </c>
    </row>
    <row r="36" spans="1:60" ht="20.100000000000001" customHeight="1" x14ac:dyDescent="0.3">
      <c r="A36" s="9"/>
      <c r="B36" s="22"/>
      <c r="C36" s="31"/>
      <c r="D36" s="31"/>
      <c r="E36" s="31"/>
      <c r="F36" s="31"/>
      <c r="G36" s="23"/>
      <c r="H36" s="12"/>
      <c r="I36" s="9"/>
      <c r="J36" s="136">
        <v>2950</v>
      </c>
      <c r="K36" s="33">
        <v>37</v>
      </c>
      <c r="L36" s="135">
        <v>30</v>
      </c>
      <c r="M36" s="109"/>
      <c r="N36" s="106"/>
      <c r="O36" s="108"/>
      <c r="AF36" s="44" t="s">
        <v>86</v>
      </c>
      <c r="AG36" s="5" t="s">
        <v>89</v>
      </c>
      <c r="AH36" s="319" t="s">
        <v>17</v>
      </c>
      <c r="AI36" s="195" t="s">
        <v>87</v>
      </c>
      <c r="AJ36" s="203" t="s">
        <v>87</v>
      </c>
      <c r="AK36" s="195" t="s">
        <v>87</v>
      </c>
      <c r="AL36" s="160" t="s">
        <v>87</v>
      </c>
      <c r="AM36" s="195" t="s">
        <v>87</v>
      </c>
      <c r="AN36" s="203" t="s">
        <v>87</v>
      </c>
      <c r="AO36" s="195" t="s">
        <v>87</v>
      </c>
      <c r="AP36" s="160" t="s">
        <v>87</v>
      </c>
      <c r="AQ36" s="195" t="s">
        <v>87</v>
      </c>
      <c r="AR36" s="160" t="s">
        <v>87</v>
      </c>
      <c r="AS36" s="195" t="s">
        <v>87</v>
      </c>
      <c r="AT36" s="160" t="s">
        <v>87</v>
      </c>
      <c r="AU36" s="195" t="s">
        <v>87</v>
      </c>
      <c r="AV36" s="203" t="s">
        <v>87</v>
      </c>
      <c r="AW36" s="195" t="s">
        <v>87</v>
      </c>
      <c r="AX36" s="160" t="s">
        <v>87</v>
      </c>
      <c r="AY36" s="195" t="s">
        <v>87</v>
      </c>
      <c r="AZ36" s="160" t="s">
        <v>87</v>
      </c>
      <c r="BA36" s="195" t="s">
        <v>87</v>
      </c>
      <c r="BB36" s="160" t="s">
        <v>87</v>
      </c>
      <c r="BC36" s="195" t="s">
        <v>87</v>
      </c>
      <c r="BD36" s="160" t="s">
        <v>87</v>
      </c>
      <c r="BE36" s="195" t="s">
        <v>87</v>
      </c>
      <c r="BF36" s="160" t="s">
        <v>87</v>
      </c>
      <c r="BG36" s="187" t="s">
        <v>87</v>
      </c>
      <c r="BH36" s="160" t="s">
        <v>87</v>
      </c>
    </row>
    <row r="37" spans="1:60" ht="19.5" thickBot="1" x14ac:dyDescent="0.35">
      <c r="A37" s="9"/>
      <c r="B37" s="22"/>
      <c r="C37" s="31"/>
      <c r="D37" s="31"/>
      <c r="E37" s="31"/>
      <c r="F37" s="31"/>
      <c r="G37" s="23"/>
      <c r="H37" s="9"/>
      <c r="I37" s="9"/>
      <c r="J37" s="136">
        <v>2300</v>
      </c>
      <c r="K37" s="33">
        <v>38</v>
      </c>
      <c r="L37" s="135">
        <v>31</v>
      </c>
      <c r="M37" s="109"/>
      <c r="N37" s="106"/>
      <c r="O37" s="108"/>
      <c r="Z37" s="54" t="s">
        <v>132</v>
      </c>
      <c r="AF37" s="44" t="s">
        <v>86</v>
      </c>
      <c r="AG37" s="5" t="s">
        <v>31</v>
      </c>
      <c r="AH37" s="319" t="s">
        <v>17</v>
      </c>
      <c r="AI37" s="195" t="s">
        <v>87</v>
      </c>
      <c r="AJ37" s="203" t="s">
        <v>87</v>
      </c>
      <c r="AK37" s="195" t="s">
        <v>87</v>
      </c>
      <c r="AL37" s="160" t="s">
        <v>87</v>
      </c>
      <c r="AM37" s="195" t="s">
        <v>87</v>
      </c>
      <c r="AN37" s="203" t="s">
        <v>87</v>
      </c>
      <c r="AO37" s="195" t="s">
        <v>87</v>
      </c>
      <c r="AP37" s="160" t="s">
        <v>87</v>
      </c>
      <c r="AQ37" s="195" t="s">
        <v>87</v>
      </c>
      <c r="AR37" s="160" t="s">
        <v>87</v>
      </c>
      <c r="AS37" s="195" t="s">
        <v>87</v>
      </c>
      <c r="AT37" s="160" t="s">
        <v>87</v>
      </c>
      <c r="AU37" s="195" t="s">
        <v>87</v>
      </c>
      <c r="AV37" s="203" t="s">
        <v>87</v>
      </c>
      <c r="AW37" s="195" t="s">
        <v>87</v>
      </c>
      <c r="AX37" s="160" t="s">
        <v>87</v>
      </c>
      <c r="AY37" s="195" t="s">
        <v>87</v>
      </c>
      <c r="AZ37" s="160" t="s">
        <v>87</v>
      </c>
      <c r="BA37" s="195" t="s">
        <v>87</v>
      </c>
      <c r="BB37" s="160" t="s">
        <v>87</v>
      </c>
      <c r="BC37" s="195" t="s">
        <v>87</v>
      </c>
      <c r="BD37" s="160" t="s">
        <v>87</v>
      </c>
      <c r="BE37" s="195" t="s">
        <v>87</v>
      </c>
      <c r="BF37" s="160" t="s">
        <v>87</v>
      </c>
      <c r="BG37" s="187" t="s">
        <v>87</v>
      </c>
      <c r="BH37" s="160" t="s">
        <v>87</v>
      </c>
    </row>
    <row r="38" spans="1:60" ht="20.25" thickTop="1" thickBot="1" x14ac:dyDescent="0.35">
      <c r="A38" s="9"/>
      <c r="B38" s="22"/>
      <c r="C38" s="31"/>
      <c r="D38" s="31"/>
      <c r="E38" s="31"/>
      <c r="F38" s="31"/>
      <c r="G38" s="23"/>
      <c r="H38" s="9"/>
      <c r="I38" s="9"/>
      <c r="J38" s="136">
        <v>1970</v>
      </c>
      <c r="K38" s="33">
        <v>39</v>
      </c>
      <c r="L38" s="135">
        <v>32</v>
      </c>
      <c r="M38" s="109"/>
      <c r="N38" s="106"/>
      <c r="O38" s="108"/>
      <c r="Z38" s="125">
        <f>IF(AND(C20&lt;C17,C14="Flared / Rigid"),LOOKUP(C8,Z41:Z50,AB41:AB50),IF(AND(C20&lt;C17,C14="Flared / Semi Rigid"),LOOKUP(C8,Z41:Z50,AA41:AA50),IF(C20&gt;C17,LOOKUP(C8,Z41:Z50,AC41:AC50),0)))</f>
        <v>16</v>
      </c>
      <c r="AA38" s="126" t="s">
        <v>134</v>
      </c>
      <c r="AB38" s="126" t="s">
        <v>133</v>
      </c>
      <c r="AC38" s="127"/>
      <c r="AF38" s="44" t="s">
        <v>86</v>
      </c>
      <c r="AG38" s="5" t="s">
        <v>32</v>
      </c>
      <c r="AH38" s="319" t="s">
        <v>17</v>
      </c>
      <c r="AI38" s="195" t="s">
        <v>87</v>
      </c>
      <c r="AJ38" s="203" t="s">
        <v>87</v>
      </c>
      <c r="AK38" s="195" t="s">
        <v>87</v>
      </c>
      <c r="AL38" s="160" t="s">
        <v>87</v>
      </c>
      <c r="AM38" s="195" t="s">
        <v>87</v>
      </c>
      <c r="AN38" s="203" t="s">
        <v>87</v>
      </c>
      <c r="AO38" s="195" t="s">
        <v>87</v>
      </c>
      <c r="AP38" s="160" t="s">
        <v>87</v>
      </c>
      <c r="AQ38" s="195" t="s">
        <v>87</v>
      </c>
      <c r="AR38" s="160" t="s">
        <v>87</v>
      </c>
      <c r="AS38" s="195" t="s">
        <v>87</v>
      </c>
      <c r="AT38" s="160" t="s">
        <v>87</v>
      </c>
      <c r="AU38" s="195" t="s">
        <v>87</v>
      </c>
      <c r="AV38" s="203" t="s">
        <v>87</v>
      </c>
      <c r="AW38" s="195" t="s">
        <v>87</v>
      </c>
      <c r="AX38" s="160" t="s">
        <v>87</v>
      </c>
      <c r="AY38" s="195" t="s">
        <v>87</v>
      </c>
      <c r="AZ38" s="160" t="s">
        <v>87</v>
      </c>
      <c r="BA38" s="195" t="s">
        <v>87</v>
      </c>
      <c r="BB38" s="160" t="s">
        <v>87</v>
      </c>
      <c r="BC38" s="195" t="s">
        <v>87</v>
      </c>
      <c r="BD38" s="160" t="s">
        <v>87</v>
      </c>
      <c r="BE38" s="195" t="s">
        <v>87</v>
      </c>
      <c r="BF38" s="160" t="s">
        <v>87</v>
      </c>
      <c r="BG38" s="187" t="s">
        <v>87</v>
      </c>
      <c r="BH38" s="160" t="s">
        <v>87</v>
      </c>
    </row>
    <row r="39" spans="1:60" ht="19.5" thickBot="1" x14ac:dyDescent="0.35">
      <c r="A39" s="9"/>
      <c r="B39" s="22"/>
      <c r="C39" s="31"/>
      <c r="D39" s="31"/>
      <c r="E39" s="31"/>
      <c r="F39" s="31"/>
      <c r="G39" s="23"/>
      <c r="H39" s="9"/>
      <c r="I39" s="9"/>
      <c r="J39" s="136">
        <v>1640</v>
      </c>
      <c r="K39" s="33">
        <v>40</v>
      </c>
      <c r="L39" s="135">
        <v>33</v>
      </c>
      <c r="M39" s="109"/>
      <c r="N39" s="106"/>
      <c r="O39" s="108"/>
      <c r="Z39" s="128" t="s">
        <v>2</v>
      </c>
      <c r="AA39" s="322" t="s">
        <v>128</v>
      </c>
      <c r="AB39" s="322" t="s">
        <v>128</v>
      </c>
      <c r="AC39" s="129" t="s">
        <v>128</v>
      </c>
      <c r="AF39" s="46" t="s">
        <v>86</v>
      </c>
      <c r="AG39" s="47" t="s">
        <v>88</v>
      </c>
      <c r="AH39" s="184" t="s">
        <v>17</v>
      </c>
      <c r="AI39" s="196" t="s">
        <v>87</v>
      </c>
      <c r="AJ39" s="204" t="s">
        <v>87</v>
      </c>
      <c r="AK39" s="196" t="s">
        <v>87</v>
      </c>
      <c r="AL39" s="161" t="s">
        <v>87</v>
      </c>
      <c r="AM39" s="196" t="s">
        <v>87</v>
      </c>
      <c r="AN39" s="204" t="s">
        <v>87</v>
      </c>
      <c r="AO39" s="196" t="s">
        <v>87</v>
      </c>
      <c r="AP39" s="161" t="s">
        <v>87</v>
      </c>
      <c r="AQ39" s="196" t="s">
        <v>87</v>
      </c>
      <c r="AR39" s="161" t="s">
        <v>87</v>
      </c>
      <c r="AS39" s="196" t="s">
        <v>87</v>
      </c>
      <c r="AT39" s="161" t="s">
        <v>87</v>
      </c>
      <c r="AU39" s="196" t="s">
        <v>87</v>
      </c>
      <c r="AV39" s="204" t="s">
        <v>87</v>
      </c>
      <c r="AW39" s="196" t="s">
        <v>87</v>
      </c>
      <c r="AX39" s="161" t="s">
        <v>87</v>
      </c>
      <c r="AY39" s="196" t="s">
        <v>87</v>
      </c>
      <c r="AZ39" s="161" t="s">
        <v>87</v>
      </c>
      <c r="BA39" s="196" t="s">
        <v>87</v>
      </c>
      <c r="BB39" s="161" t="s">
        <v>87</v>
      </c>
      <c r="BC39" s="196" t="s">
        <v>87</v>
      </c>
      <c r="BD39" s="161" t="s">
        <v>87</v>
      </c>
      <c r="BE39" s="196" t="s">
        <v>87</v>
      </c>
      <c r="BF39" s="161" t="s">
        <v>87</v>
      </c>
      <c r="BG39" s="188" t="s">
        <v>87</v>
      </c>
      <c r="BH39" s="161" t="s">
        <v>87</v>
      </c>
    </row>
    <row r="40" spans="1:60" ht="19.5" thickTop="1" x14ac:dyDescent="0.3">
      <c r="A40" s="9"/>
      <c r="B40" s="22"/>
      <c r="C40" s="31"/>
      <c r="D40" s="31"/>
      <c r="E40" s="31"/>
      <c r="F40" s="31"/>
      <c r="G40" s="23"/>
      <c r="H40" s="148"/>
      <c r="I40" s="9"/>
      <c r="J40" s="136">
        <v>1475</v>
      </c>
      <c r="K40" s="33">
        <v>41</v>
      </c>
      <c r="L40" s="135">
        <v>34</v>
      </c>
      <c r="M40" s="109"/>
      <c r="N40" s="106"/>
      <c r="O40" s="108"/>
      <c r="Z40" s="124" t="s">
        <v>3</v>
      </c>
      <c r="AA40" s="55" t="s">
        <v>129</v>
      </c>
      <c r="AB40" s="55" t="s">
        <v>130</v>
      </c>
      <c r="AC40" s="130" t="s">
        <v>131</v>
      </c>
      <c r="AF40" s="43" t="s">
        <v>71</v>
      </c>
      <c r="AG40" s="35" t="s">
        <v>89</v>
      </c>
      <c r="AH40" s="185" t="s">
        <v>16</v>
      </c>
      <c r="AI40" s="192">
        <v>7</v>
      </c>
      <c r="AJ40" s="200">
        <v>10</v>
      </c>
      <c r="AK40" s="211">
        <f>$AI40*$AT$5</f>
        <v>7.7000000000000011</v>
      </c>
      <c r="AL40" s="212">
        <f t="shared" ref="AL40:AR51" si="42">$AJ40*$AT$5</f>
        <v>11</v>
      </c>
      <c r="AM40" s="211">
        <f>$AI40*$AT$5</f>
        <v>7.7000000000000011</v>
      </c>
      <c r="AN40" s="208">
        <f t="shared" si="42"/>
        <v>11</v>
      </c>
      <c r="AO40" s="211">
        <f>$AI40*$AT$5</f>
        <v>7.7000000000000011</v>
      </c>
      <c r="AP40" s="212">
        <f t="shared" si="42"/>
        <v>11</v>
      </c>
      <c r="AQ40" s="211">
        <f>$AI40*$AT$5</f>
        <v>7.7000000000000011</v>
      </c>
      <c r="AR40" s="212">
        <f t="shared" si="42"/>
        <v>11</v>
      </c>
      <c r="AS40" s="227">
        <f>$AI40*$AV$5</f>
        <v>8.4</v>
      </c>
      <c r="AT40" s="228">
        <f t="shared" ref="AT40:AZ51" si="43">$AJ40*$AV$5</f>
        <v>12</v>
      </c>
      <c r="AU40" s="227">
        <f>$AI40*$AV$5</f>
        <v>8.4</v>
      </c>
      <c r="AV40" s="221">
        <f t="shared" si="43"/>
        <v>12</v>
      </c>
      <c r="AW40" s="227">
        <f>$AI40*$AV$5</f>
        <v>8.4</v>
      </c>
      <c r="AX40" s="228">
        <f t="shared" si="43"/>
        <v>12</v>
      </c>
      <c r="AY40" s="227">
        <f>$AI40*$AV$5</f>
        <v>8.4</v>
      </c>
      <c r="AZ40" s="228">
        <f t="shared" si="43"/>
        <v>12</v>
      </c>
      <c r="BA40" s="238">
        <f>$AI40*$AX$5</f>
        <v>9.1</v>
      </c>
      <c r="BB40" s="239">
        <f>$AJ40*$AX$5</f>
        <v>13</v>
      </c>
      <c r="BC40" s="238">
        <f>$AI40*$AX$5</f>
        <v>9.1</v>
      </c>
      <c r="BD40" s="239">
        <f>$AJ40*$AX$5</f>
        <v>13</v>
      </c>
      <c r="BE40" s="240">
        <f>$AI40*$AZ$5</f>
        <v>9.7999999999999989</v>
      </c>
      <c r="BF40" s="241">
        <f>$AJ40*$AZ$5</f>
        <v>14</v>
      </c>
      <c r="BG40" s="237">
        <f>$AI40*$BB$5</f>
        <v>10.5</v>
      </c>
      <c r="BH40" s="167">
        <f>$AJ40*$BB$5</f>
        <v>15</v>
      </c>
    </row>
    <row r="41" spans="1:60" ht="18.75" x14ac:dyDescent="0.3">
      <c r="A41" s="9"/>
      <c r="B41" s="22"/>
      <c r="C41" s="31"/>
      <c r="D41" s="31"/>
      <c r="E41" s="31"/>
      <c r="F41" s="31"/>
      <c r="G41" s="23"/>
      <c r="H41" s="13"/>
      <c r="I41" s="9"/>
      <c r="J41" s="136">
        <v>1315</v>
      </c>
      <c r="K41" s="33">
        <v>42</v>
      </c>
      <c r="L41" s="135">
        <v>35</v>
      </c>
      <c r="M41" s="109"/>
      <c r="N41" s="106"/>
      <c r="O41" s="108"/>
      <c r="Z41" s="115">
        <v>30</v>
      </c>
      <c r="AA41" s="6">
        <v>7</v>
      </c>
      <c r="AB41" s="5">
        <v>8</v>
      </c>
      <c r="AC41" s="45">
        <v>13</v>
      </c>
      <c r="AF41" s="44" t="s">
        <v>71</v>
      </c>
      <c r="AG41" s="5" t="s">
        <v>31</v>
      </c>
      <c r="AH41" s="319" t="s">
        <v>16</v>
      </c>
      <c r="AI41" s="193">
        <v>12</v>
      </c>
      <c r="AJ41" s="201">
        <v>14</v>
      </c>
      <c r="AK41" s="213">
        <f t="shared" ref="AK41:AQ56" si="44">$AI41*$AT$5</f>
        <v>13.200000000000001</v>
      </c>
      <c r="AL41" s="214">
        <f t="shared" si="42"/>
        <v>15.400000000000002</v>
      </c>
      <c r="AM41" s="213">
        <f t="shared" si="44"/>
        <v>13.200000000000001</v>
      </c>
      <c r="AN41" s="209">
        <f t="shared" si="42"/>
        <v>15.400000000000002</v>
      </c>
      <c r="AO41" s="213">
        <f t="shared" si="44"/>
        <v>13.200000000000001</v>
      </c>
      <c r="AP41" s="214">
        <f t="shared" si="42"/>
        <v>15.400000000000002</v>
      </c>
      <c r="AQ41" s="213">
        <f t="shared" si="44"/>
        <v>13.200000000000001</v>
      </c>
      <c r="AR41" s="214">
        <f t="shared" si="42"/>
        <v>15.400000000000002</v>
      </c>
      <c r="AS41" s="215">
        <f t="shared" ref="AS41:AY51" si="45">$AI41*$AV$5</f>
        <v>14.399999999999999</v>
      </c>
      <c r="AT41" s="216">
        <f t="shared" si="43"/>
        <v>16.8</v>
      </c>
      <c r="AU41" s="215">
        <f t="shared" si="45"/>
        <v>14.399999999999999</v>
      </c>
      <c r="AV41" s="210">
        <f t="shared" si="43"/>
        <v>16.8</v>
      </c>
      <c r="AW41" s="215">
        <f t="shared" si="45"/>
        <v>14.399999999999999</v>
      </c>
      <c r="AX41" s="216">
        <f t="shared" si="43"/>
        <v>16.8</v>
      </c>
      <c r="AY41" s="215">
        <f t="shared" si="45"/>
        <v>14.399999999999999</v>
      </c>
      <c r="AZ41" s="216">
        <f t="shared" si="43"/>
        <v>16.8</v>
      </c>
      <c r="BA41" s="217">
        <f t="shared" ref="AU41:BC51" si="46">$AI41*$AX$5</f>
        <v>15.600000000000001</v>
      </c>
      <c r="BB41" s="218">
        <f t="shared" ref="AX41:BD51" si="47">$AJ41*$AX$5</f>
        <v>18.2</v>
      </c>
      <c r="BC41" s="217">
        <f t="shared" si="46"/>
        <v>15.600000000000001</v>
      </c>
      <c r="BD41" s="218">
        <f t="shared" si="47"/>
        <v>18.2</v>
      </c>
      <c r="BE41" s="225">
        <f t="shared" ref="AY41:BE51" si="48">$AI41*$AZ$5</f>
        <v>16.799999999999997</v>
      </c>
      <c r="BF41" s="226">
        <f t="shared" ref="AZ41:BF51" si="49">$AJ41*$AZ$5</f>
        <v>19.599999999999998</v>
      </c>
      <c r="BG41" s="222">
        <f t="shared" ref="BC41:BG51" si="50">$AI41*$BB$5</f>
        <v>18</v>
      </c>
      <c r="BH41" s="168">
        <f t="shared" ref="BD41:BH51" si="51">$AJ41*$BB$5</f>
        <v>21</v>
      </c>
    </row>
    <row r="42" spans="1:60" ht="18.75" x14ac:dyDescent="0.3">
      <c r="A42" s="9"/>
      <c r="B42" s="22"/>
      <c r="C42" s="31"/>
      <c r="D42" s="31"/>
      <c r="E42" s="31"/>
      <c r="F42" s="31"/>
      <c r="G42" s="23"/>
      <c r="H42" s="13"/>
      <c r="I42" s="9"/>
      <c r="J42" s="136">
        <v>1150</v>
      </c>
      <c r="K42" s="33">
        <v>43</v>
      </c>
      <c r="L42" s="135">
        <v>36</v>
      </c>
      <c r="M42" s="109"/>
      <c r="N42" s="106"/>
      <c r="O42" s="108"/>
      <c r="Z42" s="115">
        <v>35</v>
      </c>
      <c r="AA42" s="6">
        <v>7.5</v>
      </c>
      <c r="AB42" s="5">
        <v>9</v>
      </c>
      <c r="AC42" s="45">
        <v>14.5</v>
      </c>
      <c r="AF42" s="44" t="s">
        <v>71</v>
      </c>
      <c r="AG42" s="5" t="s">
        <v>32</v>
      </c>
      <c r="AH42" s="319" t="s">
        <v>16</v>
      </c>
      <c r="AI42" s="193">
        <v>14</v>
      </c>
      <c r="AJ42" s="201">
        <v>16</v>
      </c>
      <c r="AK42" s="213">
        <f t="shared" si="44"/>
        <v>15.400000000000002</v>
      </c>
      <c r="AL42" s="214">
        <f t="shared" si="42"/>
        <v>17.600000000000001</v>
      </c>
      <c r="AM42" s="213">
        <f t="shared" si="44"/>
        <v>15.400000000000002</v>
      </c>
      <c r="AN42" s="209">
        <f t="shared" si="42"/>
        <v>17.600000000000001</v>
      </c>
      <c r="AO42" s="213">
        <f t="shared" si="44"/>
        <v>15.400000000000002</v>
      </c>
      <c r="AP42" s="214">
        <f t="shared" si="42"/>
        <v>17.600000000000001</v>
      </c>
      <c r="AQ42" s="213">
        <f t="shared" si="44"/>
        <v>15.400000000000002</v>
      </c>
      <c r="AR42" s="214">
        <f t="shared" si="42"/>
        <v>17.600000000000001</v>
      </c>
      <c r="AS42" s="215">
        <f t="shared" si="45"/>
        <v>16.8</v>
      </c>
      <c r="AT42" s="216">
        <f t="shared" si="43"/>
        <v>19.2</v>
      </c>
      <c r="AU42" s="215">
        <f t="shared" si="45"/>
        <v>16.8</v>
      </c>
      <c r="AV42" s="210">
        <f t="shared" si="43"/>
        <v>19.2</v>
      </c>
      <c r="AW42" s="215">
        <f t="shared" si="45"/>
        <v>16.8</v>
      </c>
      <c r="AX42" s="216">
        <f t="shared" si="43"/>
        <v>19.2</v>
      </c>
      <c r="AY42" s="215">
        <f t="shared" si="45"/>
        <v>16.8</v>
      </c>
      <c r="AZ42" s="216">
        <f t="shared" si="43"/>
        <v>19.2</v>
      </c>
      <c r="BA42" s="217">
        <f t="shared" si="46"/>
        <v>18.2</v>
      </c>
      <c r="BB42" s="218">
        <f t="shared" si="47"/>
        <v>20.8</v>
      </c>
      <c r="BC42" s="217">
        <f t="shared" si="46"/>
        <v>18.2</v>
      </c>
      <c r="BD42" s="218">
        <f t="shared" si="47"/>
        <v>20.8</v>
      </c>
      <c r="BE42" s="225">
        <f t="shared" si="48"/>
        <v>19.599999999999998</v>
      </c>
      <c r="BF42" s="226">
        <f t="shared" si="49"/>
        <v>22.4</v>
      </c>
      <c r="BG42" s="222">
        <f t="shared" si="50"/>
        <v>21</v>
      </c>
      <c r="BH42" s="168">
        <f t="shared" si="51"/>
        <v>24</v>
      </c>
    </row>
    <row r="43" spans="1:60" ht="35.1" customHeight="1" x14ac:dyDescent="0.3">
      <c r="A43" s="9"/>
      <c r="B43" s="22"/>
      <c r="C43" s="31"/>
      <c r="D43" s="31"/>
      <c r="E43" s="31"/>
      <c r="F43" s="31"/>
      <c r="G43" s="23"/>
      <c r="H43" s="13"/>
      <c r="I43" s="9"/>
      <c r="J43" s="136">
        <v>985</v>
      </c>
      <c r="K43" s="33">
        <v>44</v>
      </c>
      <c r="L43" s="135">
        <v>37</v>
      </c>
      <c r="M43" s="109"/>
      <c r="N43" s="106"/>
      <c r="O43" s="108"/>
      <c r="Z43" s="115">
        <v>40</v>
      </c>
      <c r="AA43" s="6">
        <v>8</v>
      </c>
      <c r="AB43" s="5">
        <v>10</v>
      </c>
      <c r="AC43" s="45">
        <v>16</v>
      </c>
      <c r="AF43" s="44" t="s">
        <v>71</v>
      </c>
      <c r="AG43" s="5" t="s">
        <v>88</v>
      </c>
      <c r="AH43" s="319" t="s">
        <v>16</v>
      </c>
      <c r="AI43" s="193">
        <v>16</v>
      </c>
      <c r="AJ43" s="201">
        <v>18</v>
      </c>
      <c r="AK43" s="213">
        <f t="shared" si="44"/>
        <v>17.600000000000001</v>
      </c>
      <c r="AL43" s="214">
        <f t="shared" si="42"/>
        <v>19.8</v>
      </c>
      <c r="AM43" s="213">
        <f t="shared" si="44"/>
        <v>17.600000000000001</v>
      </c>
      <c r="AN43" s="209">
        <f t="shared" si="42"/>
        <v>19.8</v>
      </c>
      <c r="AO43" s="223">
        <f t="shared" si="44"/>
        <v>17.600000000000001</v>
      </c>
      <c r="AP43" s="224">
        <f t="shared" si="42"/>
        <v>19.8</v>
      </c>
      <c r="AQ43" s="213">
        <f t="shared" si="44"/>
        <v>17.600000000000001</v>
      </c>
      <c r="AR43" s="214">
        <f t="shared" si="42"/>
        <v>19.8</v>
      </c>
      <c r="AS43" s="215">
        <f t="shared" si="45"/>
        <v>19.2</v>
      </c>
      <c r="AT43" s="216">
        <f t="shared" si="43"/>
        <v>21.599999999999998</v>
      </c>
      <c r="AU43" s="215">
        <f t="shared" si="45"/>
        <v>19.2</v>
      </c>
      <c r="AV43" s="210">
        <f t="shared" si="43"/>
        <v>21.599999999999998</v>
      </c>
      <c r="AW43" s="215">
        <f t="shared" si="45"/>
        <v>19.2</v>
      </c>
      <c r="AX43" s="216">
        <f t="shared" si="43"/>
        <v>21.599999999999998</v>
      </c>
      <c r="AY43" s="215">
        <f t="shared" si="45"/>
        <v>19.2</v>
      </c>
      <c r="AZ43" s="216">
        <f t="shared" si="43"/>
        <v>21.599999999999998</v>
      </c>
      <c r="BA43" s="217">
        <f t="shared" si="46"/>
        <v>20.8</v>
      </c>
      <c r="BB43" s="218">
        <f t="shared" si="47"/>
        <v>23.400000000000002</v>
      </c>
      <c r="BC43" s="217">
        <f t="shared" si="46"/>
        <v>20.8</v>
      </c>
      <c r="BD43" s="218">
        <f t="shared" si="47"/>
        <v>23.400000000000002</v>
      </c>
      <c r="BE43" s="225">
        <f t="shared" si="48"/>
        <v>22.4</v>
      </c>
      <c r="BF43" s="226">
        <f t="shared" si="49"/>
        <v>25.2</v>
      </c>
      <c r="BG43" s="222">
        <f t="shared" si="50"/>
        <v>24</v>
      </c>
      <c r="BH43" s="168">
        <f t="shared" si="51"/>
        <v>27</v>
      </c>
    </row>
    <row r="44" spans="1:60" ht="35.1" customHeight="1" x14ac:dyDescent="0.3">
      <c r="A44" s="9"/>
      <c r="B44" s="22"/>
      <c r="C44" s="31"/>
      <c r="D44" s="31"/>
      <c r="E44" s="31"/>
      <c r="F44" s="31"/>
      <c r="G44" s="23"/>
      <c r="H44" s="9"/>
      <c r="I44" s="9"/>
      <c r="J44" s="136">
        <v>820</v>
      </c>
      <c r="K44" s="33">
        <v>45</v>
      </c>
      <c r="L44" s="135">
        <v>38</v>
      </c>
      <c r="M44" s="109"/>
      <c r="N44" s="106"/>
      <c r="O44" s="108"/>
      <c r="Z44" s="115">
        <v>45</v>
      </c>
      <c r="AA44" s="6">
        <v>10</v>
      </c>
      <c r="AB44" s="5">
        <v>12</v>
      </c>
      <c r="AC44" s="45">
        <v>18</v>
      </c>
      <c r="AF44" s="44" t="s">
        <v>94</v>
      </c>
      <c r="AG44" s="5" t="s">
        <v>89</v>
      </c>
      <c r="AH44" s="319" t="s">
        <v>16</v>
      </c>
      <c r="AI44" s="193">
        <v>12</v>
      </c>
      <c r="AJ44" s="201">
        <v>14</v>
      </c>
      <c r="AK44" s="213">
        <f t="shared" si="44"/>
        <v>13.200000000000001</v>
      </c>
      <c r="AL44" s="214">
        <f t="shared" si="42"/>
        <v>15.400000000000002</v>
      </c>
      <c r="AM44" s="213">
        <f t="shared" si="44"/>
        <v>13.200000000000001</v>
      </c>
      <c r="AN44" s="209">
        <f t="shared" si="42"/>
        <v>15.400000000000002</v>
      </c>
      <c r="AO44" s="215">
        <f>$AI44*$AV$5</f>
        <v>14.399999999999999</v>
      </c>
      <c r="AP44" s="216">
        <f t="shared" ref="AL44:AR59" si="52">$AJ44*$AV$5</f>
        <v>16.8</v>
      </c>
      <c r="AQ44" s="215">
        <f>$AI44*$AV$5</f>
        <v>14.399999999999999</v>
      </c>
      <c r="AR44" s="216">
        <f t="shared" si="52"/>
        <v>16.8</v>
      </c>
      <c r="AS44" s="215">
        <f t="shared" si="45"/>
        <v>14.399999999999999</v>
      </c>
      <c r="AT44" s="216">
        <f t="shared" si="43"/>
        <v>16.8</v>
      </c>
      <c r="AU44" s="215">
        <f t="shared" si="45"/>
        <v>14.399999999999999</v>
      </c>
      <c r="AV44" s="210">
        <f t="shared" si="43"/>
        <v>16.8</v>
      </c>
      <c r="AW44" s="215">
        <f t="shared" si="45"/>
        <v>14.399999999999999</v>
      </c>
      <c r="AX44" s="216">
        <f t="shared" si="43"/>
        <v>16.8</v>
      </c>
      <c r="AY44" s="217">
        <f t="shared" si="46"/>
        <v>15.600000000000001</v>
      </c>
      <c r="AZ44" s="218">
        <f t="shared" si="47"/>
        <v>18.2</v>
      </c>
      <c r="BA44" s="217">
        <f t="shared" si="46"/>
        <v>15.600000000000001</v>
      </c>
      <c r="BB44" s="218">
        <f t="shared" si="47"/>
        <v>18.2</v>
      </c>
      <c r="BC44" s="225">
        <f t="shared" si="48"/>
        <v>16.799999999999997</v>
      </c>
      <c r="BD44" s="226">
        <f t="shared" si="49"/>
        <v>19.599999999999998</v>
      </c>
      <c r="BE44" s="229">
        <f t="shared" si="50"/>
        <v>18</v>
      </c>
      <c r="BF44" s="230">
        <f t="shared" si="51"/>
        <v>21</v>
      </c>
      <c r="BG44" s="176" t="s">
        <v>153</v>
      </c>
      <c r="BH44" s="164" t="s">
        <v>153</v>
      </c>
    </row>
    <row r="45" spans="1:60" ht="35.1" customHeight="1" x14ac:dyDescent="0.3">
      <c r="A45" s="9"/>
      <c r="B45" s="22"/>
      <c r="C45" s="31"/>
      <c r="D45" s="31"/>
      <c r="E45" s="31"/>
      <c r="F45" s="31"/>
      <c r="G45" s="23"/>
      <c r="H45" s="9"/>
      <c r="I45" s="9"/>
      <c r="J45" s="136">
        <v>660</v>
      </c>
      <c r="K45" s="33">
        <v>46</v>
      </c>
      <c r="L45" s="135">
        <v>39</v>
      </c>
      <c r="M45" s="109"/>
      <c r="N45" s="106"/>
      <c r="O45" s="108"/>
      <c r="Y45" s="31"/>
      <c r="Z45" s="115">
        <v>50</v>
      </c>
      <c r="AA45" s="6">
        <v>11</v>
      </c>
      <c r="AB45" s="5">
        <v>14</v>
      </c>
      <c r="AC45" s="45">
        <v>21</v>
      </c>
      <c r="AF45" s="44" t="s">
        <v>94</v>
      </c>
      <c r="AG45" s="5" t="s">
        <v>31</v>
      </c>
      <c r="AH45" s="319" t="s">
        <v>16</v>
      </c>
      <c r="AI45" s="193">
        <v>16</v>
      </c>
      <c r="AJ45" s="201">
        <v>20</v>
      </c>
      <c r="AK45" s="213">
        <f t="shared" si="44"/>
        <v>17.600000000000001</v>
      </c>
      <c r="AL45" s="214">
        <f t="shared" si="42"/>
        <v>22</v>
      </c>
      <c r="AM45" s="213">
        <f t="shared" si="44"/>
        <v>17.600000000000001</v>
      </c>
      <c r="AN45" s="209">
        <f t="shared" si="42"/>
        <v>22</v>
      </c>
      <c r="AO45" s="215">
        <f t="shared" ref="AO45:AO51" si="53">$AI45*$AV$5</f>
        <v>19.2</v>
      </c>
      <c r="AP45" s="216">
        <f t="shared" si="52"/>
        <v>24</v>
      </c>
      <c r="AQ45" s="215">
        <f t="shared" ref="AQ45:AQ51" si="54">$AI45*$AV$5</f>
        <v>19.2</v>
      </c>
      <c r="AR45" s="216">
        <f t="shared" si="52"/>
        <v>24</v>
      </c>
      <c r="AS45" s="215">
        <f t="shared" si="45"/>
        <v>19.2</v>
      </c>
      <c r="AT45" s="216">
        <f t="shared" si="43"/>
        <v>24</v>
      </c>
      <c r="AU45" s="215">
        <f t="shared" si="45"/>
        <v>19.2</v>
      </c>
      <c r="AV45" s="210">
        <f t="shared" si="43"/>
        <v>24</v>
      </c>
      <c r="AW45" s="215">
        <f t="shared" si="45"/>
        <v>19.2</v>
      </c>
      <c r="AX45" s="216">
        <f t="shared" si="43"/>
        <v>24</v>
      </c>
      <c r="AY45" s="217">
        <f t="shared" si="46"/>
        <v>20.8</v>
      </c>
      <c r="AZ45" s="218">
        <f t="shared" si="47"/>
        <v>26</v>
      </c>
      <c r="BA45" s="217">
        <f t="shared" si="46"/>
        <v>20.8</v>
      </c>
      <c r="BB45" s="218">
        <f t="shared" si="47"/>
        <v>26</v>
      </c>
      <c r="BC45" s="225">
        <f t="shared" si="48"/>
        <v>22.4</v>
      </c>
      <c r="BD45" s="226">
        <f t="shared" si="49"/>
        <v>28</v>
      </c>
      <c r="BE45" s="229">
        <f t="shared" si="50"/>
        <v>24</v>
      </c>
      <c r="BF45" s="230">
        <f t="shared" si="51"/>
        <v>30</v>
      </c>
      <c r="BG45" s="176" t="s">
        <v>153</v>
      </c>
      <c r="BH45" s="164" t="s">
        <v>153</v>
      </c>
    </row>
    <row r="46" spans="1:60" ht="35.1" customHeight="1" thickBot="1" x14ac:dyDescent="0.35">
      <c r="A46" s="9"/>
      <c r="B46" s="24"/>
      <c r="C46" s="25"/>
      <c r="D46" s="25"/>
      <c r="E46" s="25"/>
      <c r="F46" s="25"/>
      <c r="G46" s="26"/>
      <c r="H46" s="9"/>
      <c r="I46" s="9"/>
      <c r="J46" s="136">
        <v>495</v>
      </c>
      <c r="K46" s="33">
        <v>47</v>
      </c>
      <c r="L46" s="135">
        <v>40</v>
      </c>
      <c r="M46" s="109"/>
      <c r="N46" s="16"/>
      <c r="O46" s="108"/>
      <c r="Y46" s="31"/>
      <c r="Z46" s="115">
        <v>55</v>
      </c>
      <c r="AA46" s="6">
        <v>12</v>
      </c>
      <c r="AB46" s="5">
        <v>16</v>
      </c>
      <c r="AC46" s="45">
        <v>24</v>
      </c>
      <c r="AF46" s="44" t="s">
        <v>94</v>
      </c>
      <c r="AG46" s="5" t="s">
        <v>32</v>
      </c>
      <c r="AH46" s="319" t="s">
        <v>16</v>
      </c>
      <c r="AI46" s="193">
        <v>20</v>
      </c>
      <c r="AJ46" s="201">
        <v>26</v>
      </c>
      <c r="AK46" s="213">
        <f t="shared" si="44"/>
        <v>22</v>
      </c>
      <c r="AL46" s="214">
        <f t="shared" si="42"/>
        <v>28.6</v>
      </c>
      <c r="AM46" s="213">
        <f t="shared" si="44"/>
        <v>22</v>
      </c>
      <c r="AN46" s="209">
        <f t="shared" si="42"/>
        <v>28.6</v>
      </c>
      <c r="AO46" s="215">
        <f t="shared" si="53"/>
        <v>24</v>
      </c>
      <c r="AP46" s="216">
        <f t="shared" si="52"/>
        <v>31.2</v>
      </c>
      <c r="AQ46" s="215">
        <f t="shared" si="54"/>
        <v>24</v>
      </c>
      <c r="AR46" s="216">
        <f t="shared" si="52"/>
        <v>31.2</v>
      </c>
      <c r="AS46" s="215">
        <f t="shared" si="45"/>
        <v>24</v>
      </c>
      <c r="AT46" s="216">
        <f t="shared" si="43"/>
        <v>31.2</v>
      </c>
      <c r="AU46" s="215">
        <f t="shared" si="45"/>
        <v>24</v>
      </c>
      <c r="AV46" s="210">
        <f t="shared" si="43"/>
        <v>31.2</v>
      </c>
      <c r="AW46" s="215">
        <f t="shared" si="45"/>
        <v>24</v>
      </c>
      <c r="AX46" s="216">
        <f t="shared" si="43"/>
        <v>31.2</v>
      </c>
      <c r="AY46" s="217">
        <f t="shared" si="46"/>
        <v>26</v>
      </c>
      <c r="AZ46" s="218">
        <f t="shared" si="47"/>
        <v>33.800000000000004</v>
      </c>
      <c r="BA46" s="217">
        <f t="shared" si="46"/>
        <v>26</v>
      </c>
      <c r="BB46" s="218">
        <f t="shared" si="47"/>
        <v>33.800000000000004</v>
      </c>
      <c r="BC46" s="225">
        <f t="shared" si="48"/>
        <v>28</v>
      </c>
      <c r="BD46" s="226">
        <f t="shared" si="49"/>
        <v>36.4</v>
      </c>
      <c r="BE46" s="229">
        <f t="shared" si="50"/>
        <v>30</v>
      </c>
      <c r="BF46" s="230">
        <f t="shared" si="51"/>
        <v>39</v>
      </c>
      <c r="BG46" s="176" t="s">
        <v>153</v>
      </c>
      <c r="BH46" s="164" t="s">
        <v>153</v>
      </c>
    </row>
    <row r="47" spans="1:60" ht="15" customHeight="1" x14ac:dyDescent="0.3">
      <c r="A47" s="9"/>
      <c r="B47" s="449" t="s">
        <v>93</v>
      </c>
      <c r="C47" s="450"/>
      <c r="D47" s="450"/>
      <c r="E47" s="451"/>
      <c r="F47" s="451"/>
      <c r="G47" s="452"/>
      <c r="H47" s="14"/>
      <c r="I47" s="9"/>
      <c r="J47" s="136">
        <v>330</v>
      </c>
      <c r="K47" s="33">
        <v>48</v>
      </c>
      <c r="L47" s="142"/>
      <c r="M47" s="109"/>
      <c r="N47" s="16"/>
      <c r="O47" s="108"/>
      <c r="Y47" s="31"/>
      <c r="Z47" s="115">
        <v>60</v>
      </c>
      <c r="AA47" s="6">
        <v>14</v>
      </c>
      <c r="AB47" s="5">
        <v>18</v>
      </c>
      <c r="AC47" s="45">
        <v>26</v>
      </c>
      <c r="AF47" s="44" t="s">
        <v>94</v>
      </c>
      <c r="AG47" s="5" t="s">
        <v>88</v>
      </c>
      <c r="AH47" s="319" t="s">
        <v>16</v>
      </c>
      <c r="AI47" s="193">
        <v>24</v>
      </c>
      <c r="AJ47" s="201">
        <v>28</v>
      </c>
      <c r="AK47" s="213">
        <f t="shared" si="44"/>
        <v>26.400000000000002</v>
      </c>
      <c r="AL47" s="214">
        <f t="shared" si="42"/>
        <v>30.800000000000004</v>
      </c>
      <c r="AM47" s="213">
        <f t="shared" si="44"/>
        <v>26.400000000000002</v>
      </c>
      <c r="AN47" s="209">
        <f t="shared" si="42"/>
        <v>30.800000000000004</v>
      </c>
      <c r="AO47" s="215">
        <f t="shared" si="53"/>
        <v>28.799999999999997</v>
      </c>
      <c r="AP47" s="216">
        <f t="shared" si="52"/>
        <v>33.6</v>
      </c>
      <c r="AQ47" s="215">
        <f t="shared" si="54"/>
        <v>28.799999999999997</v>
      </c>
      <c r="AR47" s="216">
        <f t="shared" si="52"/>
        <v>33.6</v>
      </c>
      <c r="AS47" s="215">
        <f t="shared" si="45"/>
        <v>28.799999999999997</v>
      </c>
      <c r="AT47" s="216">
        <f t="shared" si="43"/>
        <v>33.6</v>
      </c>
      <c r="AU47" s="215">
        <f t="shared" si="45"/>
        <v>28.799999999999997</v>
      </c>
      <c r="AV47" s="210">
        <f t="shared" si="43"/>
        <v>33.6</v>
      </c>
      <c r="AW47" s="215">
        <f t="shared" si="45"/>
        <v>28.799999999999997</v>
      </c>
      <c r="AX47" s="216">
        <f t="shared" si="43"/>
        <v>33.6</v>
      </c>
      <c r="AY47" s="217">
        <f t="shared" si="46"/>
        <v>31.200000000000003</v>
      </c>
      <c r="AZ47" s="218">
        <f t="shared" si="47"/>
        <v>36.4</v>
      </c>
      <c r="BA47" s="217">
        <f t="shared" si="46"/>
        <v>31.200000000000003</v>
      </c>
      <c r="BB47" s="218">
        <f t="shared" si="47"/>
        <v>36.4</v>
      </c>
      <c r="BC47" s="225">
        <f t="shared" si="48"/>
        <v>33.599999999999994</v>
      </c>
      <c r="BD47" s="226">
        <f t="shared" si="49"/>
        <v>39.199999999999996</v>
      </c>
      <c r="BE47" s="229">
        <f t="shared" si="50"/>
        <v>36</v>
      </c>
      <c r="BF47" s="230">
        <f t="shared" si="51"/>
        <v>42</v>
      </c>
      <c r="BG47" s="176" t="s">
        <v>153</v>
      </c>
      <c r="BH47" s="164" t="s">
        <v>153</v>
      </c>
    </row>
    <row r="48" spans="1:60" ht="41.25" customHeight="1" x14ac:dyDescent="0.3">
      <c r="A48" s="9"/>
      <c r="B48" s="454" t="s">
        <v>113</v>
      </c>
      <c r="C48" s="455"/>
      <c r="D48" s="455"/>
      <c r="E48" s="456"/>
      <c r="F48" s="456"/>
      <c r="G48" s="457"/>
      <c r="H48" s="14"/>
      <c r="I48" s="9"/>
      <c r="J48" s="143"/>
      <c r="K48" s="33">
        <v>49</v>
      </c>
      <c r="L48" s="142"/>
      <c r="M48" s="109"/>
      <c r="N48" s="16"/>
      <c r="O48" s="108"/>
      <c r="Y48" s="31"/>
      <c r="Z48" s="115">
        <v>65</v>
      </c>
      <c r="AA48" s="6">
        <v>14.5</v>
      </c>
      <c r="AB48" s="5">
        <v>19</v>
      </c>
      <c r="AC48" s="45">
        <v>28.5</v>
      </c>
      <c r="AF48" s="44" t="s">
        <v>95</v>
      </c>
      <c r="AG48" s="5" t="s">
        <v>89</v>
      </c>
      <c r="AH48" s="319" t="s">
        <v>16</v>
      </c>
      <c r="AI48" s="193">
        <v>12</v>
      </c>
      <c r="AJ48" s="201">
        <v>14</v>
      </c>
      <c r="AK48" s="213">
        <f t="shared" si="44"/>
        <v>13.200000000000001</v>
      </c>
      <c r="AL48" s="214">
        <f t="shared" si="42"/>
        <v>15.400000000000002</v>
      </c>
      <c r="AM48" s="215">
        <f>$AI48*$AV$5</f>
        <v>14.399999999999999</v>
      </c>
      <c r="AN48" s="210">
        <f t="shared" si="52"/>
        <v>16.8</v>
      </c>
      <c r="AO48" s="215">
        <f t="shared" si="53"/>
        <v>14.399999999999999</v>
      </c>
      <c r="AP48" s="216">
        <f t="shared" si="52"/>
        <v>16.8</v>
      </c>
      <c r="AQ48" s="215">
        <f t="shared" si="54"/>
        <v>14.399999999999999</v>
      </c>
      <c r="AR48" s="216">
        <f t="shared" si="52"/>
        <v>16.8</v>
      </c>
      <c r="AS48" s="215">
        <f t="shared" si="45"/>
        <v>14.399999999999999</v>
      </c>
      <c r="AT48" s="216">
        <f t="shared" si="43"/>
        <v>16.8</v>
      </c>
      <c r="AU48" s="217">
        <f t="shared" si="46"/>
        <v>15.600000000000001</v>
      </c>
      <c r="AV48" s="219">
        <f t="shared" ref="AR48:AV63" si="55">$AJ48*$AX$5</f>
        <v>18.2</v>
      </c>
      <c r="AW48" s="217">
        <f t="shared" si="46"/>
        <v>15.600000000000001</v>
      </c>
      <c r="AX48" s="218">
        <f t="shared" si="47"/>
        <v>18.2</v>
      </c>
      <c r="AY48" s="225">
        <f t="shared" si="48"/>
        <v>16.799999999999997</v>
      </c>
      <c r="AZ48" s="226">
        <f t="shared" si="49"/>
        <v>19.599999999999998</v>
      </c>
      <c r="BA48" s="225">
        <f t="shared" si="48"/>
        <v>16.799999999999997</v>
      </c>
      <c r="BB48" s="226">
        <f t="shared" si="49"/>
        <v>19.599999999999998</v>
      </c>
      <c r="BC48" s="229">
        <f t="shared" si="50"/>
        <v>18</v>
      </c>
      <c r="BD48" s="230">
        <f t="shared" si="51"/>
        <v>21</v>
      </c>
      <c r="BE48" s="231" t="s">
        <v>153</v>
      </c>
      <c r="BF48" s="232" t="s">
        <v>153</v>
      </c>
      <c r="BG48" s="176" t="s">
        <v>153</v>
      </c>
      <c r="BH48" s="164" t="s">
        <v>153</v>
      </c>
    </row>
    <row r="49" spans="1:60" ht="79.5" customHeight="1" x14ac:dyDescent="0.3">
      <c r="A49" s="9"/>
      <c r="B49" s="454" t="s">
        <v>176</v>
      </c>
      <c r="C49" s="455"/>
      <c r="D49" s="455"/>
      <c r="E49" s="455"/>
      <c r="F49" s="455"/>
      <c r="G49" s="458"/>
      <c r="H49" s="14"/>
      <c r="I49" s="9"/>
      <c r="J49" s="144"/>
      <c r="K49" s="33">
        <v>50</v>
      </c>
      <c r="L49" s="142"/>
      <c r="M49" s="109"/>
      <c r="N49" s="16"/>
      <c r="O49" s="108"/>
      <c r="Y49" s="31"/>
      <c r="Z49" s="115">
        <v>70</v>
      </c>
      <c r="AA49" s="6">
        <v>15</v>
      </c>
      <c r="AB49" s="5">
        <v>20</v>
      </c>
      <c r="AC49" s="45">
        <v>30</v>
      </c>
      <c r="AF49" s="44" t="s">
        <v>95</v>
      </c>
      <c r="AG49" s="5" t="s">
        <v>31</v>
      </c>
      <c r="AH49" s="319" t="s">
        <v>16</v>
      </c>
      <c r="AI49" s="193">
        <v>16</v>
      </c>
      <c r="AJ49" s="201">
        <v>20</v>
      </c>
      <c r="AK49" s="213">
        <f t="shared" si="44"/>
        <v>17.600000000000001</v>
      </c>
      <c r="AL49" s="214">
        <f t="shared" si="42"/>
        <v>22</v>
      </c>
      <c r="AM49" s="215">
        <f t="shared" ref="AM49:AM63" si="56">$AI49*$AV$5</f>
        <v>19.2</v>
      </c>
      <c r="AN49" s="210">
        <f t="shared" si="52"/>
        <v>24</v>
      </c>
      <c r="AO49" s="215">
        <f t="shared" si="53"/>
        <v>19.2</v>
      </c>
      <c r="AP49" s="216">
        <f t="shared" si="52"/>
        <v>24</v>
      </c>
      <c r="AQ49" s="215">
        <f t="shared" si="54"/>
        <v>19.2</v>
      </c>
      <c r="AR49" s="216">
        <f t="shared" si="52"/>
        <v>24</v>
      </c>
      <c r="AS49" s="215">
        <f t="shared" si="45"/>
        <v>19.2</v>
      </c>
      <c r="AT49" s="216">
        <f t="shared" si="43"/>
        <v>24</v>
      </c>
      <c r="AU49" s="217">
        <f t="shared" si="46"/>
        <v>20.8</v>
      </c>
      <c r="AV49" s="219">
        <f t="shared" si="55"/>
        <v>26</v>
      </c>
      <c r="AW49" s="217">
        <f t="shared" si="46"/>
        <v>20.8</v>
      </c>
      <c r="AX49" s="218">
        <f t="shared" si="47"/>
        <v>26</v>
      </c>
      <c r="AY49" s="225">
        <f t="shared" si="48"/>
        <v>22.4</v>
      </c>
      <c r="AZ49" s="226">
        <f t="shared" si="49"/>
        <v>28</v>
      </c>
      <c r="BA49" s="225">
        <f t="shared" si="48"/>
        <v>22.4</v>
      </c>
      <c r="BB49" s="226">
        <f t="shared" si="49"/>
        <v>28</v>
      </c>
      <c r="BC49" s="229">
        <f t="shared" si="50"/>
        <v>24</v>
      </c>
      <c r="BD49" s="230">
        <f t="shared" si="51"/>
        <v>30</v>
      </c>
      <c r="BE49" s="231" t="s">
        <v>153</v>
      </c>
      <c r="BF49" s="232" t="s">
        <v>153</v>
      </c>
      <c r="BG49" s="176" t="s">
        <v>153</v>
      </c>
      <c r="BH49" s="164" t="s">
        <v>153</v>
      </c>
    </row>
    <row r="50" spans="1:60" ht="27.75" customHeight="1" thickBot="1" x14ac:dyDescent="0.35">
      <c r="A50" s="9"/>
      <c r="B50" s="454" t="s">
        <v>114</v>
      </c>
      <c r="C50" s="455"/>
      <c r="D50" s="455"/>
      <c r="E50" s="455"/>
      <c r="F50" s="455"/>
      <c r="G50" s="458"/>
      <c r="H50" s="14"/>
      <c r="I50" s="9"/>
      <c r="J50" s="144"/>
      <c r="K50" s="33">
        <v>51</v>
      </c>
      <c r="L50" s="142"/>
      <c r="M50" s="109"/>
      <c r="N50" s="16"/>
      <c r="O50" s="108"/>
      <c r="Y50" s="31"/>
      <c r="Z50" s="117">
        <v>80</v>
      </c>
      <c r="AA50" s="118">
        <v>15</v>
      </c>
      <c r="AB50" s="47">
        <v>20</v>
      </c>
      <c r="AC50" s="48">
        <v>30</v>
      </c>
      <c r="AF50" s="44" t="s">
        <v>95</v>
      </c>
      <c r="AG50" s="5" t="s">
        <v>32</v>
      </c>
      <c r="AH50" s="319" t="s">
        <v>16</v>
      </c>
      <c r="AI50" s="193">
        <v>20</v>
      </c>
      <c r="AJ50" s="201">
        <v>26</v>
      </c>
      <c r="AK50" s="213">
        <f t="shared" si="44"/>
        <v>22</v>
      </c>
      <c r="AL50" s="214">
        <f t="shared" si="42"/>
        <v>28.6</v>
      </c>
      <c r="AM50" s="215">
        <f t="shared" si="56"/>
        <v>24</v>
      </c>
      <c r="AN50" s="210">
        <f t="shared" si="52"/>
        <v>31.2</v>
      </c>
      <c r="AO50" s="215">
        <f t="shared" si="53"/>
        <v>24</v>
      </c>
      <c r="AP50" s="216">
        <f t="shared" si="52"/>
        <v>31.2</v>
      </c>
      <c r="AQ50" s="215">
        <f t="shared" si="54"/>
        <v>24</v>
      </c>
      <c r="AR50" s="216">
        <f t="shared" si="52"/>
        <v>31.2</v>
      </c>
      <c r="AS50" s="215">
        <f t="shared" si="45"/>
        <v>24</v>
      </c>
      <c r="AT50" s="216">
        <f t="shared" si="43"/>
        <v>31.2</v>
      </c>
      <c r="AU50" s="217">
        <f t="shared" si="46"/>
        <v>26</v>
      </c>
      <c r="AV50" s="219">
        <f t="shared" si="55"/>
        <v>33.800000000000004</v>
      </c>
      <c r="AW50" s="217">
        <f t="shared" si="46"/>
        <v>26</v>
      </c>
      <c r="AX50" s="218">
        <f t="shared" si="47"/>
        <v>33.800000000000004</v>
      </c>
      <c r="AY50" s="225">
        <f t="shared" si="48"/>
        <v>28</v>
      </c>
      <c r="AZ50" s="226">
        <f t="shared" si="49"/>
        <v>36.4</v>
      </c>
      <c r="BA50" s="225">
        <f t="shared" si="48"/>
        <v>28</v>
      </c>
      <c r="BB50" s="226">
        <f t="shared" si="49"/>
        <v>36.4</v>
      </c>
      <c r="BC50" s="229">
        <f t="shared" si="50"/>
        <v>30</v>
      </c>
      <c r="BD50" s="230">
        <f t="shared" si="51"/>
        <v>39</v>
      </c>
      <c r="BE50" s="231" t="s">
        <v>153</v>
      </c>
      <c r="BF50" s="232" t="s">
        <v>153</v>
      </c>
      <c r="BG50" s="176" t="s">
        <v>153</v>
      </c>
      <c r="BH50" s="164" t="s">
        <v>153</v>
      </c>
    </row>
    <row r="51" spans="1:60" ht="17.25" customHeight="1" thickTop="1" x14ac:dyDescent="0.3">
      <c r="A51" s="9"/>
      <c r="B51" s="454" t="s">
        <v>115</v>
      </c>
      <c r="C51" s="455"/>
      <c r="D51" s="455"/>
      <c r="E51" s="455"/>
      <c r="F51" s="455"/>
      <c r="G51" s="458"/>
      <c r="H51" s="14"/>
      <c r="I51" s="9"/>
      <c r="J51" s="144"/>
      <c r="K51" s="33">
        <v>52</v>
      </c>
      <c r="L51" s="142"/>
      <c r="M51" s="109"/>
      <c r="N51" s="16"/>
      <c r="O51" s="108"/>
      <c r="Y51" s="31"/>
      <c r="AF51" s="44" t="s">
        <v>95</v>
      </c>
      <c r="AG51" s="5" t="s">
        <v>88</v>
      </c>
      <c r="AH51" s="319" t="s">
        <v>16</v>
      </c>
      <c r="AI51" s="193">
        <v>24</v>
      </c>
      <c r="AJ51" s="201">
        <v>28</v>
      </c>
      <c r="AK51" s="213">
        <f t="shared" si="44"/>
        <v>26.400000000000002</v>
      </c>
      <c r="AL51" s="214">
        <f t="shared" si="42"/>
        <v>30.800000000000004</v>
      </c>
      <c r="AM51" s="215">
        <f t="shared" si="56"/>
        <v>28.799999999999997</v>
      </c>
      <c r="AN51" s="210">
        <f t="shared" si="52"/>
        <v>33.6</v>
      </c>
      <c r="AO51" s="215">
        <f t="shared" si="53"/>
        <v>28.799999999999997</v>
      </c>
      <c r="AP51" s="216">
        <f t="shared" si="52"/>
        <v>33.6</v>
      </c>
      <c r="AQ51" s="215">
        <f t="shared" si="54"/>
        <v>28.799999999999997</v>
      </c>
      <c r="AR51" s="216">
        <f t="shared" si="52"/>
        <v>33.6</v>
      </c>
      <c r="AS51" s="215">
        <f t="shared" si="45"/>
        <v>28.799999999999997</v>
      </c>
      <c r="AT51" s="216">
        <f t="shared" si="43"/>
        <v>33.6</v>
      </c>
      <c r="AU51" s="217">
        <f t="shared" si="46"/>
        <v>31.200000000000003</v>
      </c>
      <c r="AV51" s="219">
        <f t="shared" si="55"/>
        <v>36.4</v>
      </c>
      <c r="AW51" s="217">
        <f t="shared" si="46"/>
        <v>31.200000000000003</v>
      </c>
      <c r="AX51" s="218">
        <f t="shared" si="47"/>
        <v>36.4</v>
      </c>
      <c r="AY51" s="225">
        <f t="shared" si="48"/>
        <v>33.599999999999994</v>
      </c>
      <c r="AZ51" s="226">
        <f t="shared" si="49"/>
        <v>39.199999999999996</v>
      </c>
      <c r="BA51" s="225">
        <f t="shared" si="48"/>
        <v>33.599999999999994</v>
      </c>
      <c r="BB51" s="226">
        <f t="shared" si="49"/>
        <v>39.199999999999996</v>
      </c>
      <c r="BC51" s="229">
        <f t="shared" si="50"/>
        <v>36</v>
      </c>
      <c r="BD51" s="230">
        <f t="shared" si="51"/>
        <v>42</v>
      </c>
      <c r="BE51" s="231" t="s">
        <v>153</v>
      </c>
      <c r="BF51" s="232" t="s">
        <v>153</v>
      </c>
      <c r="BG51" s="176" t="s">
        <v>153</v>
      </c>
      <c r="BH51" s="164" t="s">
        <v>153</v>
      </c>
    </row>
    <row r="52" spans="1:60" ht="57.75" customHeight="1" thickBot="1" x14ac:dyDescent="0.35">
      <c r="A52" s="9"/>
      <c r="B52" s="459" t="s">
        <v>159</v>
      </c>
      <c r="C52" s="460"/>
      <c r="D52" s="460"/>
      <c r="E52" s="460"/>
      <c r="F52" s="460"/>
      <c r="G52" s="461"/>
      <c r="H52" s="14"/>
      <c r="I52" s="9"/>
      <c r="J52" s="144"/>
      <c r="K52" s="33">
        <v>53</v>
      </c>
      <c r="L52" s="142"/>
      <c r="M52" s="109"/>
      <c r="N52" s="16"/>
      <c r="O52" s="108"/>
      <c r="Y52" s="31"/>
      <c r="AF52" s="44" t="s">
        <v>74</v>
      </c>
      <c r="AG52" s="5" t="s">
        <v>89</v>
      </c>
      <c r="AH52" s="319" t="s">
        <v>16</v>
      </c>
      <c r="AI52" s="193">
        <v>14</v>
      </c>
      <c r="AJ52" s="201">
        <v>18</v>
      </c>
      <c r="AK52" s="215">
        <f>$AI52*$AV$5</f>
        <v>16.8</v>
      </c>
      <c r="AL52" s="216">
        <f t="shared" si="52"/>
        <v>21.599999999999998</v>
      </c>
      <c r="AM52" s="215">
        <f t="shared" si="56"/>
        <v>16.8</v>
      </c>
      <c r="AN52" s="210">
        <f t="shared" si="52"/>
        <v>21.599999999999998</v>
      </c>
      <c r="AO52" s="215">
        <f t="shared" si="44"/>
        <v>15.400000000000002</v>
      </c>
      <c r="AP52" s="216">
        <f t="shared" si="52"/>
        <v>21.599999999999998</v>
      </c>
      <c r="AQ52" s="217">
        <f t="shared" ref="AQ52:AU63" si="57">$AI52*$AX$5</f>
        <v>18.2</v>
      </c>
      <c r="AR52" s="218">
        <f t="shared" si="55"/>
        <v>23.400000000000002</v>
      </c>
      <c r="AS52" s="217">
        <f t="shared" si="57"/>
        <v>18.2</v>
      </c>
      <c r="AT52" s="218">
        <f t="shared" si="55"/>
        <v>23.400000000000002</v>
      </c>
      <c r="AU52" s="217">
        <f t="shared" si="57"/>
        <v>18.2</v>
      </c>
      <c r="AV52" s="219">
        <f t="shared" si="55"/>
        <v>23.400000000000002</v>
      </c>
      <c r="AW52" s="225">
        <f t="shared" ref="AW52:AW55" si="58">$AI52*$AZ$5</f>
        <v>19.599999999999998</v>
      </c>
      <c r="AX52" s="226">
        <f t="shared" ref="AX52:AX55" si="59">$AJ52*$AZ$5</f>
        <v>25.2</v>
      </c>
      <c r="AY52" s="229">
        <f t="shared" ref="AW52:AY59" si="60">$AI52*$BB$5</f>
        <v>21</v>
      </c>
      <c r="AZ52" s="230">
        <f t="shared" ref="AX52:AZ59" si="61">$AJ52*$BB$5</f>
        <v>27</v>
      </c>
      <c r="BA52" s="229">
        <f t="shared" ref="BA52:BA59" si="62">$AI52*$BB$5</f>
        <v>21</v>
      </c>
      <c r="BB52" s="230">
        <f t="shared" ref="BB52:BB59" si="63">$AJ52*$BB$5</f>
        <v>27</v>
      </c>
      <c r="BC52" s="231" t="s">
        <v>153</v>
      </c>
      <c r="BD52" s="232" t="s">
        <v>153</v>
      </c>
      <c r="BE52" s="231" t="s">
        <v>153</v>
      </c>
      <c r="BF52" s="232" t="s">
        <v>153</v>
      </c>
      <c r="BG52" s="176" t="s">
        <v>153</v>
      </c>
      <c r="BH52" s="164" t="s">
        <v>153</v>
      </c>
    </row>
    <row r="53" spans="1:60" ht="72" customHeight="1" x14ac:dyDescent="0.3">
      <c r="A53" s="9"/>
      <c r="B53" s="429" t="s">
        <v>151</v>
      </c>
      <c r="C53" s="429"/>
      <c r="D53" s="429"/>
      <c r="E53" s="429"/>
      <c r="F53" s="429"/>
      <c r="G53" s="429"/>
      <c r="H53" s="14"/>
      <c r="I53" s="9"/>
      <c r="J53" s="144"/>
      <c r="K53" s="33">
        <v>54</v>
      </c>
      <c r="L53" s="142"/>
      <c r="M53" s="109"/>
      <c r="N53" s="16"/>
      <c r="O53" s="108"/>
      <c r="AF53" s="44" t="s">
        <v>74</v>
      </c>
      <c r="AG53" s="5" t="s">
        <v>31</v>
      </c>
      <c r="AH53" s="319" t="s">
        <v>16</v>
      </c>
      <c r="AI53" s="193">
        <v>20</v>
      </c>
      <c r="AJ53" s="201">
        <v>24</v>
      </c>
      <c r="AK53" s="215">
        <f t="shared" ref="AK53:AK67" si="64">$AI53*$AV$5</f>
        <v>24</v>
      </c>
      <c r="AL53" s="216">
        <f t="shared" si="52"/>
        <v>28.799999999999997</v>
      </c>
      <c r="AM53" s="215">
        <f t="shared" si="56"/>
        <v>24</v>
      </c>
      <c r="AN53" s="210">
        <f t="shared" si="52"/>
        <v>28.799999999999997</v>
      </c>
      <c r="AO53" s="215">
        <f t="shared" si="44"/>
        <v>22</v>
      </c>
      <c r="AP53" s="216">
        <f t="shared" si="52"/>
        <v>28.799999999999997</v>
      </c>
      <c r="AQ53" s="217">
        <f t="shared" si="57"/>
        <v>26</v>
      </c>
      <c r="AR53" s="218">
        <f t="shared" si="55"/>
        <v>31.200000000000003</v>
      </c>
      <c r="AS53" s="217">
        <f t="shared" si="57"/>
        <v>26</v>
      </c>
      <c r="AT53" s="218">
        <f t="shared" si="55"/>
        <v>31.200000000000003</v>
      </c>
      <c r="AU53" s="217">
        <f t="shared" si="57"/>
        <v>26</v>
      </c>
      <c r="AV53" s="219">
        <f t="shared" si="55"/>
        <v>31.200000000000003</v>
      </c>
      <c r="AW53" s="225">
        <f t="shared" si="58"/>
        <v>28</v>
      </c>
      <c r="AX53" s="226">
        <f t="shared" si="59"/>
        <v>33.599999999999994</v>
      </c>
      <c r="AY53" s="229">
        <f t="shared" si="60"/>
        <v>30</v>
      </c>
      <c r="AZ53" s="230">
        <f t="shared" si="61"/>
        <v>36</v>
      </c>
      <c r="BA53" s="229">
        <f t="shared" si="62"/>
        <v>30</v>
      </c>
      <c r="BB53" s="230">
        <f t="shared" si="63"/>
        <v>36</v>
      </c>
      <c r="BC53" s="231" t="s">
        <v>153</v>
      </c>
      <c r="BD53" s="232" t="s">
        <v>153</v>
      </c>
      <c r="BE53" s="231" t="s">
        <v>153</v>
      </c>
      <c r="BF53" s="232" t="s">
        <v>153</v>
      </c>
      <c r="BG53" s="176" t="s">
        <v>153</v>
      </c>
      <c r="BH53" s="164" t="s">
        <v>153</v>
      </c>
    </row>
    <row r="54" spans="1:60" ht="18.75" x14ac:dyDescent="0.3">
      <c r="A54" s="9"/>
      <c r="B54" s="448"/>
      <c r="C54" s="448"/>
      <c r="D54" s="448"/>
      <c r="E54" s="448"/>
      <c r="F54" s="448"/>
      <c r="G54" s="448"/>
      <c r="H54" s="9"/>
      <c r="I54" s="9"/>
      <c r="J54" s="144"/>
      <c r="K54" s="33">
        <v>55</v>
      </c>
      <c r="L54" s="142"/>
      <c r="M54" s="109"/>
      <c r="N54" s="16"/>
      <c r="O54" s="108"/>
      <c r="AF54" s="44" t="s">
        <v>74</v>
      </c>
      <c r="AG54" s="5" t="s">
        <v>32</v>
      </c>
      <c r="AH54" s="319" t="s">
        <v>16</v>
      </c>
      <c r="AI54" s="193">
        <v>24</v>
      </c>
      <c r="AJ54" s="201">
        <v>30</v>
      </c>
      <c r="AK54" s="215">
        <f t="shared" si="64"/>
        <v>28.799999999999997</v>
      </c>
      <c r="AL54" s="216">
        <f t="shared" si="52"/>
        <v>36</v>
      </c>
      <c r="AM54" s="215">
        <f t="shared" si="56"/>
        <v>28.799999999999997</v>
      </c>
      <c r="AN54" s="210">
        <f t="shared" si="52"/>
        <v>36</v>
      </c>
      <c r="AO54" s="215">
        <f t="shared" si="44"/>
        <v>26.400000000000002</v>
      </c>
      <c r="AP54" s="216">
        <f t="shared" si="52"/>
        <v>36</v>
      </c>
      <c r="AQ54" s="217">
        <f t="shared" si="57"/>
        <v>31.200000000000003</v>
      </c>
      <c r="AR54" s="218">
        <f t="shared" si="55"/>
        <v>39</v>
      </c>
      <c r="AS54" s="217">
        <f t="shared" si="57"/>
        <v>31.200000000000003</v>
      </c>
      <c r="AT54" s="218">
        <f t="shared" si="55"/>
        <v>39</v>
      </c>
      <c r="AU54" s="217">
        <f t="shared" si="57"/>
        <v>31.200000000000003</v>
      </c>
      <c r="AV54" s="219">
        <f t="shared" si="55"/>
        <v>39</v>
      </c>
      <c r="AW54" s="225">
        <f t="shared" si="58"/>
        <v>33.599999999999994</v>
      </c>
      <c r="AX54" s="226">
        <f t="shared" si="59"/>
        <v>42</v>
      </c>
      <c r="AY54" s="229">
        <f t="shared" si="60"/>
        <v>36</v>
      </c>
      <c r="AZ54" s="230">
        <f t="shared" si="61"/>
        <v>45</v>
      </c>
      <c r="BA54" s="229">
        <f t="shared" si="62"/>
        <v>36</v>
      </c>
      <c r="BB54" s="230">
        <f t="shared" si="63"/>
        <v>45</v>
      </c>
      <c r="BC54" s="231" t="s">
        <v>153</v>
      </c>
      <c r="BD54" s="232" t="s">
        <v>153</v>
      </c>
      <c r="BE54" s="231" t="s">
        <v>153</v>
      </c>
      <c r="BF54" s="232" t="s">
        <v>153</v>
      </c>
      <c r="BG54" s="176" t="s">
        <v>153</v>
      </c>
      <c r="BH54" s="164" t="s">
        <v>153</v>
      </c>
    </row>
    <row r="55" spans="1:60" ht="24.95" customHeight="1" x14ac:dyDescent="0.3">
      <c r="A55" s="9"/>
      <c r="B55" s="16"/>
      <c r="C55" s="16"/>
      <c r="D55" s="16"/>
      <c r="E55" s="16"/>
      <c r="F55" s="16"/>
      <c r="G55" s="16"/>
      <c r="H55" s="9"/>
      <c r="I55" s="9"/>
      <c r="J55" s="144"/>
      <c r="K55" s="33">
        <v>56</v>
      </c>
      <c r="L55" s="142"/>
      <c r="M55" s="109"/>
      <c r="N55" s="359" t="s">
        <v>138</v>
      </c>
      <c r="O55" s="108"/>
      <c r="AF55" s="44" t="s">
        <v>74</v>
      </c>
      <c r="AG55" s="5" t="s">
        <v>88</v>
      </c>
      <c r="AH55" s="319" t="s">
        <v>16</v>
      </c>
      <c r="AI55" s="193">
        <v>26</v>
      </c>
      <c r="AJ55" s="201">
        <v>32</v>
      </c>
      <c r="AK55" s="215">
        <f t="shared" si="64"/>
        <v>31.2</v>
      </c>
      <c r="AL55" s="216">
        <f t="shared" si="52"/>
        <v>38.4</v>
      </c>
      <c r="AM55" s="215">
        <f t="shared" si="56"/>
        <v>31.2</v>
      </c>
      <c r="AN55" s="210">
        <f t="shared" si="52"/>
        <v>38.4</v>
      </c>
      <c r="AO55" s="215">
        <f t="shared" si="44"/>
        <v>28.6</v>
      </c>
      <c r="AP55" s="216">
        <f t="shared" si="52"/>
        <v>38.4</v>
      </c>
      <c r="AQ55" s="217">
        <f t="shared" si="57"/>
        <v>33.800000000000004</v>
      </c>
      <c r="AR55" s="218">
        <f t="shared" si="55"/>
        <v>41.6</v>
      </c>
      <c r="AS55" s="217">
        <f t="shared" si="57"/>
        <v>33.800000000000004</v>
      </c>
      <c r="AT55" s="218">
        <f t="shared" si="55"/>
        <v>41.6</v>
      </c>
      <c r="AU55" s="217">
        <f t="shared" si="57"/>
        <v>33.800000000000004</v>
      </c>
      <c r="AV55" s="219">
        <f t="shared" si="55"/>
        <v>41.6</v>
      </c>
      <c r="AW55" s="225">
        <f t="shared" si="58"/>
        <v>36.4</v>
      </c>
      <c r="AX55" s="226">
        <f t="shared" si="59"/>
        <v>44.8</v>
      </c>
      <c r="AY55" s="229">
        <f t="shared" si="60"/>
        <v>39</v>
      </c>
      <c r="AZ55" s="230">
        <f t="shared" si="61"/>
        <v>48</v>
      </c>
      <c r="BA55" s="229">
        <f t="shared" si="62"/>
        <v>39</v>
      </c>
      <c r="BB55" s="230">
        <f t="shared" si="63"/>
        <v>48</v>
      </c>
      <c r="BC55" s="231" t="s">
        <v>153</v>
      </c>
      <c r="BD55" s="232" t="s">
        <v>153</v>
      </c>
      <c r="BE55" s="231" t="s">
        <v>153</v>
      </c>
      <c r="BF55" s="232" t="s">
        <v>153</v>
      </c>
      <c r="BG55" s="176" t="s">
        <v>153</v>
      </c>
      <c r="BH55" s="164" t="s">
        <v>153</v>
      </c>
    </row>
    <row r="56" spans="1:60" ht="24.95" customHeight="1" x14ac:dyDescent="0.3">
      <c r="A56" s="9"/>
      <c r="B56" s="9"/>
      <c r="C56" s="9"/>
      <c r="D56" s="9"/>
      <c r="E56" s="14"/>
      <c r="F56" s="14"/>
      <c r="G56" s="14"/>
      <c r="H56" s="9"/>
      <c r="I56" s="9"/>
      <c r="J56" s="144"/>
      <c r="K56" s="33">
        <v>57</v>
      </c>
      <c r="L56" s="142"/>
      <c r="M56" s="109"/>
      <c r="N56" s="445"/>
      <c r="O56" s="108"/>
      <c r="AF56" s="44" t="s">
        <v>75</v>
      </c>
      <c r="AG56" s="5" t="s">
        <v>89</v>
      </c>
      <c r="AH56" s="319" t="s">
        <v>16</v>
      </c>
      <c r="AI56" s="193">
        <v>20</v>
      </c>
      <c r="AJ56" s="201">
        <v>24</v>
      </c>
      <c r="AK56" s="215">
        <f t="shared" si="64"/>
        <v>24</v>
      </c>
      <c r="AL56" s="216">
        <f t="shared" si="52"/>
        <v>28.799999999999997</v>
      </c>
      <c r="AM56" s="215">
        <f t="shared" si="56"/>
        <v>24</v>
      </c>
      <c r="AN56" s="210">
        <f t="shared" si="52"/>
        <v>28.799999999999997</v>
      </c>
      <c r="AO56" s="215">
        <f t="shared" si="44"/>
        <v>22</v>
      </c>
      <c r="AP56" s="216">
        <f t="shared" si="52"/>
        <v>28.799999999999997</v>
      </c>
      <c r="AQ56" s="217">
        <f t="shared" si="57"/>
        <v>26</v>
      </c>
      <c r="AR56" s="218">
        <f t="shared" si="55"/>
        <v>31.200000000000003</v>
      </c>
      <c r="AS56" s="217">
        <f t="shared" si="57"/>
        <v>26</v>
      </c>
      <c r="AT56" s="218">
        <f t="shared" si="55"/>
        <v>31.200000000000003</v>
      </c>
      <c r="AU56" s="217">
        <f t="shared" si="57"/>
        <v>26</v>
      </c>
      <c r="AV56" s="219">
        <f t="shared" si="55"/>
        <v>31.200000000000003</v>
      </c>
      <c r="AW56" s="229">
        <f t="shared" si="60"/>
        <v>30</v>
      </c>
      <c r="AX56" s="230">
        <f t="shared" si="61"/>
        <v>36</v>
      </c>
      <c r="AY56" s="229">
        <f t="shared" si="60"/>
        <v>30</v>
      </c>
      <c r="AZ56" s="230">
        <f t="shared" si="61"/>
        <v>36</v>
      </c>
      <c r="BA56" s="229">
        <f t="shared" si="62"/>
        <v>30</v>
      </c>
      <c r="BB56" s="230">
        <f t="shared" si="63"/>
        <v>36</v>
      </c>
      <c r="BC56" s="231" t="s">
        <v>153</v>
      </c>
      <c r="BD56" s="232" t="s">
        <v>153</v>
      </c>
      <c r="BE56" s="231" t="s">
        <v>153</v>
      </c>
      <c r="BF56" s="232" t="s">
        <v>153</v>
      </c>
      <c r="BG56" s="176" t="s">
        <v>153</v>
      </c>
      <c r="BH56" s="164" t="s">
        <v>153</v>
      </c>
    </row>
    <row r="57" spans="1:60" ht="24.95" customHeight="1" x14ac:dyDescent="0.3">
      <c r="A57" s="9"/>
      <c r="B57" s="14"/>
      <c r="C57" s="14"/>
      <c r="D57" s="14"/>
      <c r="E57" s="14"/>
      <c r="F57" s="14"/>
      <c r="G57" s="14"/>
      <c r="H57" s="9"/>
      <c r="I57" s="9"/>
      <c r="J57" s="144"/>
      <c r="K57" s="33">
        <v>58</v>
      </c>
      <c r="L57" s="142"/>
      <c r="M57" s="109"/>
      <c r="N57" s="445"/>
      <c r="O57" s="108"/>
      <c r="AF57" s="44" t="s">
        <v>75</v>
      </c>
      <c r="AG57" s="5" t="s">
        <v>31</v>
      </c>
      <c r="AH57" s="319" t="s">
        <v>16</v>
      </c>
      <c r="AI57" s="193">
        <v>26</v>
      </c>
      <c r="AJ57" s="201">
        <v>32</v>
      </c>
      <c r="AK57" s="215">
        <f t="shared" si="64"/>
        <v>31.2</v>
      </c>
      <c r="AL57" s="216">
        <f t="shared" si="52"/>
        <v>38.4</v>
      </c>
      <c r="AM57" s="215">
        <f t="shared" si="56"/>
        <v>31.2</v>
      </c>
      <c r="AN57" s="210">
        <f t="shared" si="52"/>
        <v>38.4</v>
      </c>
      <c r="AO57" s="215">
        <f t="shared" ref="AO57:AO63" si="65">$AI57*$AT$5</f>
        <v>28.6</v>
      </c>
      <c r="AP57" s="216">
        <f t="shared" si="52"/>
        <v>38.4</v>
      </c>
      <c r="AQ57" s="217">
        <f t="shared" si="57"/>
        <v>33.800000000000004</v>
      </c>
      <c r="AR57" s="218">
        <f t="shared" si="55"/>
        <v>41.6</v>
      </c>
      <c r="AS57" s="217">
        <f t="shared" si="57"/>
        <v>33.800000000000004</v>
      </c>
      <c r="AT57" s="218">
        <f t="shared" si="55"/>
        <v>41.6</v>
      </c>
      <c r="AU57" s="217">
        <f t="shared" si="57"/>
        <v>33.800000000000004</v>
      </c>
      <c r="AV57" s="219">
        <f t="shared" si="55"/>
        <v>41.6</v>
      </c>
      <c r="AW57" s="229">
        <f t="shared" si="60"/>
        <v>39</v>
      </c>
      <c r="AX57" s="230">
        <f t="shared" si="61"/>
        <v>48</v>
      </c>
      <c r="AY57" s="229">
        <f t="shared" si="60"/>
        <v>39</v>
      </c>
      <c r="AZ57" s="230">
        <f t="shared" si="61"/>
        <v>48</v>
      </c>
      <c r="BA57" s="229">
        <f t="shared" si="62"/>
        <v>39</v>
      </c>
      <c r="BB57" s="230">
        <f t="shared" si="63"/>
        <v>48</v>
      </c>
      <c r="BC57" s="231" t="s">
        <v>153</v>
      </c>
      <c r="BD57" s="232" t="s">
        <v>153</v>
      </c>
      <c r="BE57" s="231" t="s">
        <v>153</v>
      </c>
      <c r="BF57" s="232" t="s">
        <v>153</v>
      </c>
      <c r="BG57" s="176" t="s">
        <v>153</v>
      </c>
      <c r="BH57" s="164" t="s">
        <v>153</v>
      </c>
    </row>
    <row r="58" spans="1:60" ht="24.95" customHeight="1" x14ac:dyDescent="0.3">
      <c r="A58" s="9"/>
      <c r="B58" s="14"/>
      <c r="C58" s="14"/>
      <c r="D58" s="14"/>
      <c r="E58" s="14"/>
      <c r="F58" s="14"/>
      <c r="G58" s="14"/>
      <c r="H58" s="9"/>
      <c r="I58" s="9"/>
      <c r="J58" s="144"/>
      <c r="K58" s="33">
        <v>59</v>
      </c>
      <c r="L58" s="142"/>
      <c r="M58" s="109"/>
      <c r="N58" s="445"/>
      <c r="O58" s="108"/>
      <c r="AF58" s="44" t="s">
        <v>75</v>
      </c>
      <c r="AG58" s="5" t="s">
        <v>32</v>
      </c>
      <c r="AH58" s="319" t="s">
        <v>16</v>
      </c>
      <c r="AI58" s="193">
        <v>32</v>
      </c>
      <c r="AJ58" s="201">
        <v>40</v>
      </c>
      <c r="AK58" s="215">
        <f t="shared" si="64"/>
        <v>38.4</v>
      </c>
      <c r="AL58" s="216">
        <f t="shared" si="52"/>
        <v>48</v>
      </c>
      <c r="AM58" s="215">
        <f t="shared" si="56"/>
        <v>38.4</v>
      </c>
      <c r="AN58" s="210">
        <f t="shared" si="52"/>
        <v>48</v>
      </c>
      <c r="AO58" s="215">
        <f t="shared" si="65"/>
        <v>35.200000000000003</v>
      </c>
      <c r="AP58" s="216">
        <f t="shared" si="52"/>
        <v>48</v>
      </c>
      <c r="AQ58" s="217">
        <f t="shared" si="57"/>
        <v>41.6</v>
      </c>
      <c r="AR58" s="218">
        <f t="shared" si="55"/>
        <v>52</v>
      </c>
      <c r="AS58" s="217">
        <f t="shared" si="57"/>
        <v>41.6</v>
      </c>
      <c r="AT58" s="218">
        <f t="shared" si="55"/>
        <v>52</v>
      </c>
      <c r="AU58" s="217">
        <f t="shared" si="57"/>
        <v>41.6</v>
      </c>
      <c r="AV58" s="219">
        <f t="shared" si="55"/>
        <v>52</v>
      </c>
      <c r="AW58" s="229">
        <f t="shared" si="60"/>
        <v>48</v>
      </c>
      <c r="AX58" s="230">
        <f t="shared" si="61"/>
        <v>60</v>
      </c>
      <c r="AY58" s="229">
        <f t="shared" si="60"/>
        <v>48</v>
      </c>
      <c r="AZ58" s="230">
        <f t="shared" si="61"/>
        <v>60</v>
      </c>
      <c r="BA58" s="229">
        <f t="shared" si="62"/>
        <v>48</v>
      </c>
      <c r="BB58" s="230">
        <f t="shared" si="63"/>
        <v>60</v>
      </c>
      <c r="BC58" s="231" t="s">
        <v>153</v>
      </c>
      <c r="BD58" s="232" t="s">
        <v>153</v>
      </c>
      <c r="BE58" s="231" t="s">
        <v>153</v>
      </c>
      <c r="BF58" s="232" t="s">
        <v>153</v>
      </c>
      <c r="BG58" s="176" t="s">
        <v>153</v>
      </c>
      <c r="BH58" s="164" t="s">
        <v>153</v>
      </c>
    </row>
    <row r="59" spans="1:60" ht="24.95" customHeight="1" x14ac:dyDescent="0.3">
      <c r="A59" s="9"/>
      <c r="B59" s="9"/>
      <c r="C59" s="9"/>
      <c r="D59" s="9"/>
      <c r="E59" s="9"/>
      <c r="F59" s="9"/>
      <c r="G59" s="9"/>
      <c r="H59" s="9"/>
      <c r="I59" s="9"/>
      <c r="J59" s="144"/>
      <c r="K59" s="33">
        <v>60</v>
      </c>
      <c r="L59" s="142"/>
      <c r="M59" s="109"/>
      <c r="N59" s="445"/>
      <c r="O59" s="108"/>
      <c r="AF59" s="44" t="s">
        <v>75</v>
      </c>
      <c r="AG59" s="5" t="s">
        <v>88</v>
      </c>
      <c r="AH59" s="319" t="s">
        <v>16</v>
      </c>
      <c r="AI59" s="193">
        <v>36</v>
      </c>
      <c r="AJ59" s="201">
        <v>44</v>
      </c>
      <c r="AK59" s="215">
        <f t="shared" si="64"/>
        <v>43.199999999999996</v>
      </c>
      <c r="AL59" s="216">
        <f t="shared" si="52"/>
        <v>52.8</v>
      </c>
      <c r="AM59" s="215">
        <f t="shared" si="56"/>
        <v>43.199999999999996</v>
      </c>
      <c r="AN59" s="210">
        <f t="shared" si="52"/>
        <v>52.8</v>
      </c>
      <c r="AO59" s="215">
        <f t="shared" si="65"/>
        <v>39.6</v>
      </c>
      <c r="AP59" s="216">
        <f t="shared" si="52"/>
        <v>52.8</v>
      </c>
      <c r="AQ59" s="217">
        <f t="shared" si="57"/>
        <v>46.800000000000004</v>
      </c>
      <c r="AR59" s="218">
        <f t="shared" si="55"/>
        <v>57.2</v>
      </c>
      <c r="AS59" s="217">
        <f t="shared" si="57"/>
        <v>46.800000000000004</v>
      </c>
      <c r="AT59" s="218">
        <f t="shared" si="55"/>
        <v>57.2</v>
      </c>
      <c r="AU59" s="217">
        <f t="shared" si="57"/>
        <v>46.800000000000004</v>
      </c>
      <c r="AV59" s="219">
        <f t="shared" si="55"/>
        <v>57.2</v>
      </c>
      <c r="AW59" s="229">
        <f t="shared" si="60"/>
        <v>54</v>
      </c>
      <c r="AX59" s="230">
        <f t="shared" si="61"/>
        <v>66</v>
      </c>
      <c r="AY59" s="229">
        <f t="shared" si="60"/>
        <v>54</v>
      </c>
      <c r="AZ59" s="230">
        <f t="shared" si="61"/>
        <v>66</v>
      </c>
      <c r="BA59" s="229">
        <f t="shared" si="62"/>
        <v>54</v>
      </c>
      <c r="BB59" s="230">
        <f t="shared" si="63"/>
        <v>66</v>
      </c>
      <c r="BC59" s="231" t="s">
        <v>153</v>
      </c>
      <c r="BD59" s="232" t="s">
        <v>153</v>
      </c>
      <c r="BE59" s="231" t="s">
        <v>153</v>
      </c>
      <c r="BF59" s="232" t="s">
        <v>153</v>
      </c>
      <c r="BG59" s="176" t="s">
        <v>153</v>
      </c>
      <c r="BH59" s="164" t="s">
        <v>153</v>
      </c>
    </row>
    <row r="60" spans="1:60" ht="24.95" customHeight="1" x14ac:dyDescent="0.3">
      <c r="A60" s="9"/>
      <c r="B60" s="9"/>
      <c r="C60" s="9"/>
      <c r="D60" s="9"/>
      <c r="E60" s="9"/>
      <c r="F60" s="9"/>
      <c r="G60" s="9"/>
      <c r="H60" s="9"/>
      <c r="I60" s="9"/>
      <c r="J60" s="144"/>
      <c r="K60" s="33">
        <v>61</v>
      </c>
      <c r="L60" s="142"/>
      <c r="M60" s="109"/>
      <c r="N60" s="445"/>
      <c r="O60" s="108"/>
      <c r="AF60" s="44" t="s">
        <v>96</v>
      </c>
      <c r="AG60" s="5" t="s">
        <v>89</v>
      </c>
      <c r="AH60" s="319" t="s">
        <v>16</v>
      </c>
      <c r="AI60" s="193">
        <v>20</v>
      </c>
      <c r="AJ60" s="201">
        <v>26</v>
      </c>
      <c r="AK60" s="215">
        <f t="shared" si="64"/>
        <v>24</v>
      </c>
      <c r="AL60" s="216">
        <f t="shared" ref="AL60:AL67" si="66">$AJ60*$AV$5</f>
        <v>31.2</v>
      </c>
      <c r="AM60" s="215">
        <f t="shared" si="56"/>
        <v>24</v>
      </c>
      <c r="AN60" s="210">
        <f t="shared" ref="AN60:AN63" si="67">$AJ60*$AV$5</f>
        <v>31.2</v>
      </c>
      <c r="AO60" s="215">
        <f t="shared" si="65"/>
        <v>22</v>
      </c>
      <c r="AP60" s="216">
        <f t="shared" ref="AP60:AP63" si="68">$AJ60*$AV$5</f>
        <v>31.2</v>
      </c>
      <c r="AQ60" s="217">
        <f t="shared" si="57"/>
        <v>26</v>
      </c>
      <c r="AR60" s="218">
        <f t="shared" si="55"/>
        <v>33.800000000000004</v>
      </c>
      <c r="AS60" s="225">
        <f t="shared" ref="AS60:AS63" si="69">$AI60*$AZ$5</f>
        <v>28</v>
      </c>
      <c r="AT60" s="226">
        <f t="shared" ref="AT60:AT63" si="70">$AJ60*$AZ$5</f>
        <v>36.4</v>
      </c>
      <c r="AU60" s="225">
        <f t="shared" ref="AU60:AU63" si="71">$AI60*$AZ$5</f>
        <v>28</v>
      </c>
      <c r="AV60" s="220">
        <f t="shared" ref="AV60:AV63" si="72">$AJ60*$AZ$5</f>
        <v>36.4</v>
      </c>
      <c r="AW60" s="229">
        <f t="shared" ref="AW60:AW63" si="73">$AI60*$BB$5</f>
        <v>30</v>
      </c>
      <c r="AX60" s="230">
        <f t="shared" ref="AX60:AX63" si="74">$AJ60*$BB$5</f>
        <v>39</v>
      </c>
      <c r="AY60" s="231" t="s">
        <v>153</v>
      </c>
      <c r="AZ60" s="232" t="s">
        <v>153</v>
      </c>
      <c r="BA60" s="231" t="s">
        <v>153</v>
      </c>
      <c r="BB60" s="232" t="s">
        <v>153</v>
      </c>
      <c r="BC60" s="231" t="s">
        <v>153</v>
      </c>
      <c r="BD60" s="232" t="s">
        <v>153</v>
      </c>
      <c r="BE60" s="231" t="s">
        <v>153</v>
      </c>
      <c r="BF60" s="232" t="s">
        <v>153</v>
      </c>
      <c r="BG60" s="176" t="s">
        <v>153</v>
      </c>
      <c r="BH60" s="164" t="s">
        <v>153</v>
      </c>
    </row>
    <row r="61" spans="1:60" ht="24.95" customHeight="1" x14ac:dyDescent="0.3">
      <c r="A61" s="9"/>
      <c r="B61" s="9"/>
      <c r="C61" s="9"/>
      <c r="D61" s="9"/>
      <c r="E61" s="9"/>
      <c r="F61" s="9"/>
      <c r="G61" s="9"/>
      <c r="H61" s="15"/>
      <c r="I61" s="15"/>
      <c r="J61" s="145"/>
      <c r="K61" s="33">
        <v>62</v>
      </c>
      <c r="L61" s="146"/>
      <c r="M61" s="109"/>
      <c r="N61" s="445"/>
      <c r="O61" s="108"/>
      <c r="AF61" s="44" t="s">
        <v>96</v>
      </c>
      <c r="AG61" s="5" t="s">
        <v>31</v>
      </c>
      <c r="AH61" s="319" t="s">
        <v>16</v>
      </c>
      <c r="AI61" s="193">
        <v>28</v>
      </c>
      <c r="AJ61" s="201">
        <v>36</v>
      </c>
      <c r="AK61" s="215">
        <f t="shared" si="64"/>
        <v>33.6</v>
      </c>
      <c r="AL61" s="216">
        <f t="shared" si="66"/>
        <v>43.199999999999996</v>
      </c>
      <c r="AM61" s="215">
        <f t="shared" si="56"/>
        <v>33.6</v>
      </c>
      <c r="AN61" s="210">
        <f t="shared" si="67"/>
        <v>43.199999999999996</v>
      </c>
      <c r="AO61" s="215">
        <f t="shared" si="65"/>
        <v>30.800000000000004</v>
      </c>
      <c r="AP61" s="216">
        <f t="shared" si="68"/>
        <v>43.199999999999996</v>
      </c>
      <c r="AQ61" s="217">
        <f t="shared" si="57"/>
        <v>36.4</v>
      </c>
      <c r="AR61" s="218">
        <f t="shared" si="55"/>
        <v>46.800000000000004</v>
      </c>
      <c r="AS61" s="225">
        <f t="shared" si="69"/>
        <v>39.199999999999996</v>
      </c>
      <c r="AT61" s="226">
        <f t="shared" si="70"/>
        <v>50.4</v>
      </c>
      <c r="AU61" s="225">
        <f t="shared" si="71"/>
        <v>39.199999999999996</v>
      </c>
      <c r="AV61" s="220">
        <f t="shared" si="72"/>
        <v>50.4</v>
      </c>
      <c r="AW61" s="229">
        <f t="shared" si="73"/>
        <v>42</v>
      </c>
      <c r="AX61" s="230">
        <f t="shared" si="74"/>
        <v>54</v>
      </c>
      <c r="AY61" s="231" t="s">
        <v>153</v>
      </c>
      <c r="AZ61" s="232" t="s">
        <v>153</v>
      </c>
      <c r="BA61" s="231" t="s">
        <v>153</v>
      </c>
      <c r="BB61" s="232" t="s">
        <v>153</v>
      </c>
      <c r="BC61" s="231" t="s">
        <v>153</v>
      </c>
      <c r="BD61" s="232" t="s">
        <v>153</v>
      </c>
      <c r="BE61" s="231" t="s">
        <v>153</v>
      </c>
      <c r="BF61" s="232" t="s">
        <v>153</v>
      </c>
      <c r="BG61" s="176" t="s">
        <v>153</v>
      </c>
      <c r="BH61" s="164" t="s">
        <v>153</v>
      </c>
    </row>
    <row r="62" spans="1:60" ht="24.95" customHeight="1" x14ac:dyDescent="0.3">
      <c r="A62" s="9"/>
      <c r="B62" s="9"/>
      <c r="C62" s="9"/>
      <c r="D62" s="9"/>
      <c r="E62" s="9"/>
      <c r="F62" s="9"/>
      <c r="G62" s="9"/>
      <c r="H62" s="15"/>
      <c r="I62" s="15"/>
      <c r="J62" s="145"/>
      <c r="K62" s="33">
        <v>63</v>
      </c>
      <c r="L62" s="146"/>
      <c r="M62" s="109"/>
      <c r="N62" s="445"/>
      <c r="O62" s="108"/>
      <c r="AF62" s="44" t="s">
        <v>96</v>
      </c>
      <c r="AG62" s="5" t="s">
        <v>32</v>
      </c>
      <c r="AH62" s="319" t="s">
        <v>16</v>
      </c>
      <c r="AI62" s="193">
        <v>34</v>
      </c>
      <c r="AJ62" s="201">
        <v>42</v>
      </c>
      <c r="AK62" s="215">
        <f t="shared" si="64"/>
        <v>40.799999999999997</v>
      </c>
      <c r="AL62" s="216">
        <f t="shared" si="66"/>
        <v>50.4</v>
      </c>
      <c r="AM62" s="215">
        <f t="shared" si="56"/>
        <v>40.799999999999997</v>
      </c>
      <c r="AN62" s="210">
        <f t="shared" si="67"/>
        <v>50.4</v>
      </c>
      <c r="AO62" s="215">
        <f t="shared" si="65"/>
        <v>37.400000000000006</v>
      </c>
      <c r="AP62" s="216">
        <f t="shared" si="68"/>
        <v>50.4</v>
      </c>
      <c r="AQ62" s="217">
        <f t="shared" si="57"/>
        <v>44.2</v>
      </c>
      <c r="AR62" s="218">
        <f t="shared" si="55"/>
        <v>54.6</v>
      </c>
      <c r="AS62" s="225">
        <f t="shared" si="69"/>
        <v>47.599999999999994</v>
      </c>
      <c r="AT62" s="226">
        <f t="shared" si="70"/>
        <v>58.8</v>
      </c>
      <c r="AU62" s="225">
        <f t="shared" si="71"/>
        <v>47.599999999999994</v>
      </c>
      <c r="AV62" s="220">
        <f t="shared" si="72"/>
        <v>58.8</v>
      </c>
      <c r="AW62" s="229">
        <f t="shared" si="73"/>
        <v>51</v>
      </c>
      <c r="AX62" s="230">
        <f t="shared" si="74"/>
        <v>63</v>
      </c>
      <c r="AY62" s="231" t="s">
        <v>153</v>
      </c>
      <c r="AZ62" s="232" t="s">
        <v>153</v>
      </c>
      <c r="BA62" s="231" t="s">
        <v>153</v>
      </c>
      <c r="BB62" s="232" t="s">
        <v>153</v>
      </c>
      <c r="BC62" s="231" t="s">
        <v>153</v>
      </c>
      <c r="BD62" s="232" t="s">
        <v>153</v>
      </c>
      <c r="BE62" s="231" t="s">
        <v>153</v>
      </c>
      <c r="BF62" s="232" t="s">
        <v>153</v>
      </c>
      <c r="BG62" s="176" t="s">
        <v>153</v>
      </c>
      <c r="BH62" s="164" t="s">
        <v>153</v>
      </c>
    </row>
    <row r="63" spans="1:60" ht="24.95" customHeight="1" x14ac:dyDescent="0.25">
      <c r="A63" s="9"/>
      <c r="B63" s="9"/>
      <c r="C63" s="9"/>
      <c r="D63" s="9"/>
      <c r="E63" s="9"/>
      <c r="F63" s="9"/>
      <c r="G63" s="9"/>
      <c r="H63" s="15"/>
      <c r="I63" s="15"/>
      <c r="J63" s="145"/>
      <c r="K63" s="32">
        <v>64</v>
      </c>
      <c r="L63" s="146"/>
      <c r="M63" s="109"/>
      <c r="N63" s="445"/>
      <c r="O63" s="108"/>
      <c r="AF63" s="44" t="s">
        <v>96</v>
      </c>
      <c r="AG63" s="5" t="s">
        <v>88</v>
      </c>
      <c r="AH63" s="319" t="s">
        <v>16</v>
      </c>
      <c r="AI63" s="193">
        <v>38</v>
      </c>
      <c r="AJ63" s="201">
        <v>46</v>
      </c>
      <c r="AK63" s="215">
        <f t="shared" si="64"/>
        <v>45.6</v>
      </c>
      <c r="AL63" s="216">
        <f t="shared" si="66"/>
        <v>55.199999999999996</v>
      </c>
      <c r="AM63" s="215">
        <f t="shared" si="56"/>
        <v>45.6</v>
      </c>
      <c r="AN63" s="210">
        <f t="shared" si="67"/>
        <v>55.199999999999996</v>
      </c>
      <c r="AO63" s="215">
        <f t="shared" si="65"/>
        <v>41.800000000000004</v>
      </c>
      <c r="AP63" s="216">
        <f t="shared" si="68"/>
        <v>55.199999999999996</v>
      </c>
      <c r="AQ63" s="217">
        <f t="shared" si="57"/>
        <v>49.4</v>
      </c>
      <c r="AR63" s="218">
        <f t="shared" si="55"/>
        <v>59.800000000000004</v>
      </c>
      <c r="AS63" s="225">
        <f t="shared" si="69"/>
        <v>53.199999999999996</v>
      </c>
      <c r="AT63" s="226">
        <f t="shared" si="70"/>
        <v>64.399999999999991</v>
      </c>
      <c r="AU63" s="225">
        <f t="shared" si="71"/>
        <v>53.199999999999996</v>
      </c>
      <c r="AV63" s="220">
        <f t="shared" si="72"/>
        <v>64.399999999999991</v>
      </c>
      <c r="AW63" s="229">
        <f t="shared" si="73"/>
        <v>57</v>
      </c>
      <c r="AX63" s="230">
        <f t="shared" si="74"/>
        <v>69</v>
      </c>
      <c r="AY63" s="231" t="s">
        <v>153</v>
      </c>
      <c r="AZ63" s="232" t="s">
        <v>153</v>
      </c>
      <c r="BA63" s="231" t="s">
        <v>153</v>
      </c>
      <c r="BB63" s="232" t="s">
        <v>153</v>
      </c>
      <c r="BC63" s="231" t="s">
        <v>153</v>
      </c>
      <c r="BD63" s="232" t="s">
        <v>153</v>
      </c>
      <c r="BE63" s="231" t="s">
        <v>153</v>
      </c>
      <c r="BF63" s="232" t="s">
        <v>153</v>
      </c>
      <c r="BG63" s="176" t="s">
        <v>153</v>
      </c>
      <c r="BH63" s="164" t="s">
        <v>153</v>
      </c>
    </row>
    <row r="64" spans="1:60" ht="24.95" customHeight="1" x14ac:dyDescent="0.25">
      <c r="A64" s="9"/>
      <c r="B64" s="9"/>
      <c r="C64" s="9"/>
      <c r="D64" s="9"/>
      <c r="E64" s="9"/>
      <c r="F64" s="9"/>
      <c r="G64" s="9"/>
      <c r="H64" s="15"/>
      <c r="I64" s="15"/>
      <c r="J64" s="145"/>
      <c r="K64" s="32">
        <v>65</v>
      </c>
      <c r="L64" s="146"/>
      <c r="M64" s="109"/>
      <c r="N64" s="16"/>
      <c r="O64" s="108"/>
      <c r="AF64" s="44" t="s">
        <v>97</v>
      </c>
      <c r="AG64" s="5" t="s">
        <v>89</v>
      </c>
      <c r="AH64" s="319" t="s">
        <v>16</v>
      </c>
      <c r="AI64" s="193">
        <v>20</v>
      </c>
      <c r="AJ64" s="201">
        <v>26</v>
      </c>
      <c r="AK64" s="215">
        <f t="shared" si="64"/>
        <v>24</v>
      </c>
      <c r="AL64" s="216">
        <f t="shared" si="66"/>
        <v>31.2</v>
      </c>
      <c r="AM64" s="217">
        <f>$AI64*$AX$5</f>
        <v>26</v>
      </c>
      <c r="AN64" s="219">
        <f t="shared" ref="AN64:AN67" si="75">$AJ64*$AX$5</f>
        <v>33.800000000000004</v>
      </c>
      <c r="AO64" s="225">
        <f t="shared" ref="AO64:AO67" si="76">$AI64*$AZ$5</f>
        <v>28</v>
      </c>
      <c r="AP64" s="226">
        <f t="shared" ref="AP64:AP67" si="77">$AJ64*$AZ$5</f>
        <v>36.4</v>
      </c>
      <c r="AQ64" s="225">
        <f t="shared" ref="AQ64:AQ67" si="78">$AI64*$AZ$5</f>
        <v>28</v>
      </c>
      <c r="AR64" s="226">
        <f t="shared" ref="AR64:AR67" si="79">$AJ64*$AZ$5</f>
        <v>36.4</v>
      </c>
      <c r="AS64" s="229">
        <f t="shared" ref="AS64:AS67" si="80">$AI64*$BB$5</f>
        <v>30</v>
      </c>
      <c r="AT64" s="230">
        <f t="shared" ref="AT64:AT67" si="81">$AJ64*$BB$5</f>
        <v>39</v>
      </c>
      <c r="AU64" s="231" t="s">
        <v>153</v>
      </c>
      <c r="AV64" s="235" t="s">
        <v>153</v>
      </c>
      <c r="AW64" s="231" t="s">
        <v>153</v>
      </c>
      <c r="AX64" s="232" t="s">
        <v>153</v>
      </c>
      <c r="AY64" s="231" t="s">
        <v>153</v>
      </c>
      <c r="AZ64" s="232" t="s">
        <v>153</v>
      </c>
      <c r="BA64" s="231" t="s">
        <v>153</v>
      </c>
      <c r="BB64" s="232" t="s">
        <v>153</v>
      </c>
      <c r="BC64" s="231" t="s">
        <v>153</v>
      </c>
      <c r="BD64" s="232" t="s">
        <v>153</v>
      </c>
      <c r="BE64" s="231" t="s">
        <v>153</v>
      </c>
      <c r="BF64" s="232" t="s">
        <v>153</v>
      </c>
      <c r="BG64" s="176" t="s">
        <v>153</v>
      </c>
      <c r="BH64" s="164" t="s">
        <v>153</v>
      </c>
    </row>
    <row r="65" spans="1:60" ht="24.95" customHeight="1" x14ac:dyDescent="0.3">
      <c r="A65" s="9"/>
      <c r="B65" s="9"/>
      <c r="C65" s="9"/>
      <c r="D65" s="9"/>
      <c r="E65" s="9"/>
      <c r="F65" s="9"/>
      <c r="G65" s="9"/>
      <c r="H65" s="9"/>
      <c r="I65" s="9"/>
      <c r="J65" s="144"/>
      <c r="K65" s="33">
        <v>66</v>
      </c>
      <c r="L65" s="142"/>
      <c r="M65" s="109"/>
      <c r="N65" s="359" t="s">
        <v>139</v>
      </c>
      <c r="O65" s="108"/>
      <c r="AF65" s="44" t="s">
        <v>97</v>
      </c>
      <c r="AG65" s="5" t="s">
        <v>31</v>
      </c>
      <c r="AH65" s="319" t="s">
        <v>16</v>
      </c>
      <c r="AI65" s="193">
        <v>28</v>
      </c>
      <c r="AJ65" s="201">
        <v>36</v>
      </c>
      <c r="AK65" s="215">
        <f t="shared" si="64"/>
        <v>33.6</v>
      </c>
      <c r="AL65" s="216">
        <f t="shared" si="66"/>
        <v>43.199999999999996</v>
      </c>
      <c r="AM65" s="217">
        <f t="shared" ref="AM65:AM67" si="82">$AI65*$AX$5</f>
        <v>36.4</v>
      </c>
      <c r="AN65" s="219">
        <f t="shared" si="75"/>
        <v>46.800000000000004</v>
      </c>
      <c r="AO65" s="225">
        <f t="shared" si="76"/>
        <v>39.199999999999996</v>
      </c>
      <c r="AP65" s="226">
        <f t="shared" si="77"/>
        <v>50.4</v>
      </c>
      <c r="AQ65" s="225">
        <f t="shared" si="78"/>
        <v>39.199999999999996</v>
      </c>
      <c r="AR65" s="226">
        <f t="shared" si="79"/>
        <v>50.4</v>
      </c>
      <c r="AS65" s="229">
        <f t="shared" si="80"/>
        <v>42</v>
      </c>
      <c r="AT65" s="230">
        <f t="shared" si="81"/>
        <v>54</v>
      </c>
      <c r="AU65" s="231" t="s">
        <v>153</v>
      </c>
      <c r="AV65" s="235" t="s">
        <v>153</v>
      </c>
      <c r="AW65" s="231" t="s">
        <v>153</v>
      </c>
      <c r="AX65" s="232" t="s">
        <v>153</v>
      </c>
      <c r="AY65" s="231" t="s">
        <v>153</v>
      </c>
      <c r="AZ65" s="232" t="s">
        <v>153</v>
      </c>
      <c r="BA65" s="231" t="s">
        <v>153</v>
      </c>
      <c r="BB65" s="232" t="s">
        <v>153</v>
      </c>
      <c r="BC65" s="231" t="s">
        <v>153</v>
      </c>
      <c r="BD65" s="232" t="s">
        <v>153</v>
      </c>
      <c r="BE65" s="231" t="s">
        <v>153</v>
      </c>
      <c r="BF65" s="232" t="s">
        <v>153</v>
      </c>
      <c r="BG65" s="176" t="s">
        <v>153</v>
      </c>
      <c r="BH65" s="164" t="s">
        <v>153</v>
      </c>
    </row>
    <row r="66" spans="1:60" ht="24.95" customHeight="1" x14ac:dyDescent="0.3">
      <c r="A66" s="9"/>
      <c r="B66" s="9"/>
      <c r="C66" s="9"/>
      <c r="D66" s="9"/>
      <c r="E66" s="9"/>
      <c r="F66" s="9"/>
      <c r="G66" s="9"/>
      <c r="H66" s="9"/>
      <c r="I66" s="9"/>
      <c r="J66" s="144"/>
      <c r="K66" s="33">
        <v>67</v>
      </c>
      <c r="L66" s="142"/>
      <c r="M66" s="109"/>
      <c r="N66" s="445"/>
      <c r="O66" s="108"/>
      <c r="AF66" s="44" t="s">
        <v>97</v>
      </c>
      <c r="AG66" s="5" t="s">
        <v>32</v>
      </c>
      <c r="AH66" s="319" t="s">
        <v>16</v>
      </c>
      <c r="AI66" s="193">
        <v>34</v>
      </c>
      <c r="AJ66" s="201">
        <v>42</v>
      </c>
      <c r="AK66" s="215">
        <f t="shared" si="64"/>
        <v>40.799999999999997</v>
      </c>
      <c r="AL66" s="216">
        <f t="shared" si="66"/>
        <v>50.4</v>
      </c>
      <c r="AM66" s="217">
        <f t="shared" si="82"/>
        <v>44.2</v>
      </c>
      <c r="AN66" s="219">
        <f t="shared" si="75"/>
        <v>54.6</v>
      </c>
      <c r="AO66" s="225">
        <f t="shared" si="76"/>
        <v>47.599999999999994</v>
      </c>
      <c r="AP66" s="226">
        <f t="shared" si="77"/>
        <v>58.8</v>
      </c>
      <c r="AQ66" s="225">
        <f t="shared" si="78"/>
        <v>47.599999999999994</v>
      </c>
      <c r="AR66" s="226">
        <f t="shared" si="79"/>
        <v>58.8</v>
      </c>
      <c r="AS66" s="229">
        <f t="shared" si="80"/>
        <v>51</v>
      </c>
      <c r="AT66" s="230">
        <f t="shared" si="81"/>
        <v>63</v>
      </c>
      <c r="AU66" s="231" t="s">
        <v>153</v>
      </c>
      <c r="AV66" s="235" t="s">
        <v>153</v>
      </c>
      <c r="AW66" s="231" t="s">
        <v>153</v>
      </c>
      <c r="AX66" s="232" t="s">
        <v>153</v>
      </c>
      <c r="AY66" s="231" t="s">
        <v>153</v>
      </c>
      <c r="AZ66" s="232" t="s">
        <v>153</v>
      </c>
      <c r="BA66" s="231" t="s">
        <v>153</v>
      </c>
      <c r="BB66" s="232" t="s">
        <v>153</v>
      </c>
      <c r="BC66" s="231" t="s">
        <v>153</v>
      </c>
      <c r="BD66" s="232" t="s">
        <v>153</v>
      </c>
      <c r="BE66" s="231" t="s">
        <v>153</v>
      </c>
      <c r="BF66" s="232" t="s">
        <v>153</v>
      </c>
      <c r="BG66" s="176" t="s">
        <v>153</v>
      </c>
      <c r="BH66" s="164" t="s">
        <v>153</v>
      </c>
    </row>
    <row r="67" spans="1:60" ht="24.95" customHeight="1" x14ac:dyDescent="0.3">
      <c r="A67" s="9"/>
      <c r="B67" s="9"/>
      <c r="C67" s="9"/>
      <c r="D67" s="9"/>
      <c r="E67" s="9"/>
      <c r="F67" s="9"/>
      <c r="G67" s="9"/>
      <c r="H67" s="9"/>
      <c r="I67" s="9"/>
      <c r="J67" s="144"/>
      <c r="K67" s="33">
        <v>68</v>
      </c>
      <c r="L67" s="142"/>
      <c r="M67" s="109"/>
      <c r="N67" s="445"/>
      <c r="O67" s="108"/>
      <c r="AF67" s="42" t="s">
        <v>97</v>
      </c>
      <c r="AG67" s="34" t="s">
        <v>88</v>
      </c>
      <c r="AH67" s="321" t="s">
        <v>16</v>
      </c>
      <c r="AI67" s="193">
        <v>38</v>
      </c>
      <c r="AJ67" s="202">
        <v>46</v>
      </c>
      <c r="AK67" s="215">
        <f t="shared" si="64"/>
        <v>45.6</v>
      </c>
      <c r="AL67" s="216">
        <f t="shared" si="66"/>
        <v>55.199999999999996</v>
      </c>
      <c r="AM67" s="217">
        <f t="shared" si="82"/>
        <v>49.4</v>
      </c>
      <c r="AN67" s="219">
        <f t="shared" si="75"/>
        <v>59.800000000000004</v>
      </c>
      <c r="AO67" s="225">
        <f t="shared" si="76"/>
        <v>53.199999999999996</v>
      </c>
      <c r="AP67" s="226">
        <f t="shared" si="77"/>
        <v>64.399999999999991</v>
      </c>
      <c r="AQ67" s="225">
        <f t="shared" si="78"/>
        <v>53.199999999999996</v>
      </c>
      <c r="AR67" s="226">
        <f t="shared" si="79"/>
        <v>64.399999999999991</v>
      </c>
      <c r="AS67" s="229">
        <f t="shared" si="80"/>
        <v>57</v>
      </c>
      <c r="AT67" s="230">
        <f t="shared" si="81"/>
        <v>69</v>
      </c>
      <c r="AU67" s="233" t="s">
        <v>153</v>
      </c>
      <c r="AV67" s="236" t="s">
        <v>153</v>
      </c>
      <c r="AW67" s="233" t="s">
        <v>153</v>
      </c>
      <c r="AX67" s="234" t="s">
        <v>153</v>
      </c>
      <c r="AY67" s="231" t="s">
        <v>153</v>
      </c>
      <c r="AZ67" s="234" t="s">
        <v>153</v>
      </c>
      <c r="BA67" s="233" t="s">
        <v>153</v>
      </c>
      <c r="BB67" s="234" t="s">
        <v>153</v>
      </c>
      <c r="BC67" s="231" t="s">
        <v>153</v>
      </c>
      <c r="BD67" s="234" t="s">
        <v>153</v>
      </c>
      <c r="BE67" s="231" t="s">
        <v>153</v>
      </c>
      <c r="BF67" s="234" t="s">
        <v>153</v>
      </c>
      <c r="BG67" s="176" t="s">
        <v>153</v>
      </c>
      <c r="BH67" s="164" t="s">
        <v>153</v>
      </c>
    </row>
    <row r="68" spans="1:60" ht="24.95" customHeight="1" x14ac:dyDescent="0.3">
      <c r="A68" s="9"/>
      <c r="B68" s="9"/>
      <c r="C68" s="9"/>
      <c r="D68" s="9"/>
      <c r="E68" s="9"/>
      <c r="F68" s="9"/>
      <c r="G68" s="9"/>
      <c r="H68" s="9"/>
      <c r="I68" s="9"/>
      <c r="J68" s="144"/>
      <c r="K68" s="33">
        <v>69</v>
      </c>
      <c r="L68" s="142"/>
      <c r="M68" s="109"/>
      <c r="N68" s="445"/>
      <c r="O68" s="108"/>
      <c r="AF68" s="44" t="s">
        <v>86</v>
      </c>
      <c r="AG68" s="5" t="s">
        <v>89</v>
      </c>
      <c r="AH68" s="319" t="s">
        <v>16</v>
      </c>
      <c r="AI68" s="195" t="s">
        <v>87</v>
      </c>
      <c r="AJ68" s="203" t="s">
        <v>87</v>
      </c>
      <c r="AK68" s="195" t="s">
        <v>87</v>
      </c>
      <c r="AL68" s="160" t="s">
        <v>87</v>
      </c>
      <c r="AM68" s="195" t="s">
        <v>87</v>
      </c>
      <c r="AN68" s="203" t="s">
        <v>87</v>
      </c>
      <c r="AO68" s="195" t="s">
        <v>87</v>
      </c>
      <c r="AP68" s="160" t="s">
        <v>87</v>
      </c>
      <c r="AQ68" s="195" t="s">
        <v>87</v>
      </c>
      <c r="AR68" s="160" t="s">
        <v>87</v>
      </c>
      <c r="AS68" s="195" t="s">
        <v>87</v>
      </c>
      <c r="AT68" s="160" t="s">
        <v>87</v>
      </c>
      <c r="AU68" s="195" t="s">
        <v>87</v>
      </c>
      <c r="AV68" s="203" t="s">
        <v>87</v>
      </c>
      <c r="AW68" s="195" t="s">
        <v>87</v>
      </c>
      <c r="AX68" s="160" t="s">
        <v>87</v>
      </c>
      <c r="AY68" s="195" t="s">
        <v>87</v>
      </c>
      <c r="AZ68" s="160" t="s">
        <v>87</v>
      </c>
      <c r="BA68" s="195" t="s">
        <v>87</v>
      </c>
      <c r="BB68" s="160" t="s">
        <v>87</v>
      </c>
      <c r="BC68" s="195" t="s">
        <v>87</v>
      </c>
      <c r="BD68" s="160" t="s">
        <v>87</v>
      </c>
      <c r="BE68" s="195" t="s">
        <v>87</v>
      </c>
      <c r="BF68" s="160" t="s">
        <v>87</v>
      </c>
      <c r="BG68" s="187" t="s">
        <v>87</v>
      </c>
      <c r="BH68" s="160" t="s">
        <v>87</v>
      </c>
    </row>
    <row r="69" spans="1:60" ht="24.95" customHeight="1" x14ac:dyDescent="0.3">
      <c r="A69" s="9"/>
      <c r="B69" s="9"/>
      <c r="C69" s="9"/>
      <c r="D69" s="9"/>
      <c r="E69" s="9"/>
      <c r="F69" s="9"/>
      <c r="G69" s="9"/>
      <c r="H69" s="9"/>
      <c r="I69" s="9"/>
      <c r="J69" s="144"/>
      <c r="K69" s="33">
        <v>70</v>
      </c>
      <c r="L69" s="142"/>
      <c r="M69" s="109"/>
      <c r="N69" s="445"/>
      <c r="O69" s="108"/>
      <c r="AF69" s="44" t="s">
        <v>86</v>
      </c>
      <c r="AG69" s="5" t="s">
        <v>31</v>
      </c>
      <c r="AH69" s="319" t="s">
        <v>16</v>
      </c>
      <c r="AI69" s="195" t="s">
        <v>87</v>
      </c>
      <c r="AJ69" s="203" t="s">
        <v>87</v>
      </c>
      <c r="AK69" s="195" t="s">
        <v>87</v>
      </c>
      <c r="AL69" s="160" t="s">
        <v>87</v>
      </c>
      <c r="AM69" s="195" t="s">
        <v>87</v>
      </c>
      <c r="AN69" s="203" t="s">
        <v>87</v>
      </c>
      <c r="AO69" s="195" t="s">
        <v>87</v>
      </c>
      <c r="AP69" s="160" t="s">
        <v>87</v>
      </c>
      <c r="AQ69" s="195" t="s">
        <v>87</v>
      </c>
      <c r="AR69" s="160" t="s">
        <v>87</v>
      </c>
      <c r="AS69" s="195" t="s">
        <v>87</v>
      </c>
      <c r="AT69" s="160" t="s">
        <v>87</v>
      </c>
      <c r="AU69" s="195" t="s">
        <v>87</v>
      </c>
      <c r="AV69" s="203" t="s">
        <v>87</v>
      </c>
      <c r="AW69" s="195" t="s">
        <v>87</v>
      </c>
      <c r="AX69" s="160" t="s">
        <v>87</v>
      </c>
      <c r="AY69" s="195" t="s">
        <v>87</v>
      </c>
      <c r="AZ69" s="160" t="s">
        <v>87</v>
      </c>
      <c r="BA69" s="195" t="s">
        <v>87</v>
      </c>
      <c r="BB69" s="160" t="s">
        <v>87</v>
      </c>
      <c r="BC69" s="195" t="s">
        <v>87</v>
      </c>
      <c r="BD69" s="160" t="s">
        <v>87</v>
      </c>
      <c r="BE69" s="195" t="s">
        <v>87</v>
      </c>
      <c r="BF69" s="160" t="s">
        <v>87</v>
      </c>
      <c r="BG69" s="187" t="s">
        <v>87</v>
      </c>
      <c r="BH69" s="160" t="s">
        <v>87</v>
      </c>
    </row>
    <row r="70" spans="1:60" ht="24.95" customHeight="1" x14ac:dyDescent="0.25">
      <c r="A70" s="9"/>
      <c r="B70" s="9"/>
      <c r="C70" s="9"/>
      <c r="D70" s="9"/>
      <c r="E70" s="9"/>
      <c r="F70" s="9"/>
      <c r="G70" s="9"/>
      <c r="H70" s="9"/>
      <c r="I70" s="9"/>
      <c r="J70" s="144"/>
      <c r="K70" s="32">
        <v>71</v>
      </c>
      <c r="L70" s="142"/>
      <c r="M70" s="109"/>
      <c r="N70" s="445"/>
      <c r="O70" s="108"/>
      <c r="AF70" s="44" t="s">
        <v>86</v>
      </c>
      <c r="AG70" s="5" t="s">
        <v>32</v>
      </c>
      <c r="AH70" s="319" t="s">
        <v>16</v>
      </c>
      <c r="AI70" s="195" t="s">
        <v>87</v>
      </c>
      <c r="AJ70" s="203" t="s">
        <v>87</v>
      </c>
      <c r="AK70" s="195" t="s">
        <v>87</v>
      </c>
      <c r="AL70" s="160" t="s">
        <v>87</v>
      </c>
      <c r="AM70" s="195" t="s">
        <v>87</v>
      </c>
      <c r="AN70" s="203" t="s">
        <v>87</v>
      </c>
      <c r="AO70" s="195" t="s">
        <v>87</v>
      </c>
      <c r="AP70" s="160" t="s">
        <v>87</v>
      </c>
      <c r="AQ70" s="195" t="s">
        <v>87</v>
      </c>
      <c r="AR70" s="160" t="s">
        <v>87</v>
      </c>
      <c r="AS70" s="195" t="s">
        <v>87</v>
      </c>
      <c r="AT70" s="160" t="s">
        <v>87</v>
      </c>
      <c r="AU70" s="195" t="s">
        <v>87</v>
      </c>
      <c r="AV70" s="203" t="s">
        <v>87</v>
      </c>
      <c r="AW70" s="195" t="s">
        <v>87</v>
      </c>
      <c r="AX70" s="160" t="s">
        <v>87</v>
      </c>
      <c r="AY70" s="195" t="s">
        <v>87</v>
      </c>
      <c r="AZ70" s="160" t="s">
        <v>87</v>
      </c>
      <c r="BA70" s="195" t="s">
        <v>87</v>
      </c>
      <c r="BB70" s="160" t="s">
        <v>87</v>
      </c>
      <c r="BC70" s="195" t="s">
        <v>87</v>
      </c>
      <c r="BD70" s="160" t="s">
        <v>87</v>
      </c>
      <c r="BE70" s="195" t="s">
        <v>87</v>
      </c>
      <c r="BF70" s="160" t="s">
        <v>87</v>
      </c>
      <c r="BG70" s="187" t="s">
        <v>87</v>
      </c>
      <c r="BH70" s="160" t="s">
        <v>87</v>
      </c>
    </row>
    <row r="71" spans="1:60" ht="24.95" customHeight="1" thickBot="1" x14ac:dyDescent="0.3">
      <c r="A71" s="27"/>
      <c r="B71" s="27"/>
      <c r="C71" s="27"/>
      <c r="D71" s="27"/>
      <c r="E71" s="27"/>
      <c r="F71" s="27"/>
      <c r="G71" s="27"/>
      <c r="H71" s="27"/>
      <c r="J71" s="144"/>
      <c r="K71" s="32">
        <v>72</v>
      </c>
      <c r="L71" s="142"/>
      <c r="M71" s="109"/>
      <c r="N71" s="445"/>
      <c r="O71" s="108"/>
      <c r="AF71" s="44" t="s">
        <v>86</v>
      </c>
      <c r="AG71" s="5" t="s">
        <v>88</v>
      </c>
      <c r="AH71" s="319" t="s">
        <v>16</v>
      </c>
      <c r="AI71" s="195" t="s">
        <v>87</v>
      </c>
      <c r="AJ71" s="203" t="s">
        <v>87</v>
      </c>
      <c r="AK71" s="195" t="s">
        <v>87</v>
      </c>
      <c r="AL71" s="160" t="s">
        <v>87</v>
      </c>
      <c r="AM71" s="195" t="s">
        <v>87</v>
      </c>
      <c r="AN71" s="203" t="s">
        <v>87</v>
      </c>
      <c r="AO71" s="195" t="s">
        <v>87</v>
      </c>
      <c r="AP71" s="160" t="s">
        <v>87</v>
      </c>
      <c r="AQ71" s="195" t="s">
        <v>87</v>
      </c>
      <c r="AR71" s="160" t="s">
        <v>87</v>
      </c>
      <c r="AS71" s="195" t="s">
        <v>87</v>
      </c>
      <c r="AT71" s="160" t="s">
        <v>87</v>
      </c>
      <c r="AU71" s="195" t="s">
        <v>87</v>
      </c>
      <c r="AV71" s="203" t="s">
        <v>87</v>
      </c>
      <c r="AW71" s="195" t="s">
        <v>87</v>
      </c>
      <c r="AX71" s="160" t="s">
        <v>87</v>
      </c>
      <c r="AY71" s="195" t="s">
        <v>87</v>
      </c>
      <c r="AZ71" s="160" t="s">
        <v>87</v>
      </c>
      <c r="BA71" s="195" t="s">
        <v>87</v>
      </c>
      <c r="BB71" s="160" t="s">
        <v>87</v>
      </c>
      <c r="BC71" s="195" t="s">
        <v>87</v>
      </c>
      <c r="BD71" s="160" t="s">
        <v>87</v>
      </c>
      <c r="BE71" s="195" t="s">
        <v>87</v>
      </c>
      <c r="BF71" s="160" t="s">
        <v>87</v>
      </c>
      <c r="BG71" s="187" t="s">
        <v>87</v>
      </c>
      <c r="BH71" s="160" t="s">
        <v>87</v>
      </c>
    </row>
    <row r="72" spans="1:60" ht="24.95" customHeight="1" thickTop="1" x14ac:dyDescent="0.25">
      <c r="A72" s="27"/>
      <c r="B72" s="27"/>
      <c r="C72" s="27"/>
      <c r="D72" s="27"/>
      <c r="E72" s="27"/>
      <c r="F72" s="27"/>
      <c r="G72" s="27"/>
      <c r="H72" s="27"/>
      <c r="J72" s="144"/>
      <c r="K72" s="32">
        <v>73</v>
      </c>
      <c r="L72" s="142"/>
      <c r="M72" s="109"/>
      <c r="N72" s="445"/>
      <c r="O72" s="108"/>
      <c r="AF72" s="43" t="s">
        <v>71</v>
      </c>
      <c r="AG72" s="35" t="s">
        <v>89</v>
      </c>
      <c r="AH72" s="185" t="s">
        <v>15</v>
      </c>
      <c r="AI72" s="197" t="s">
        <v>58</v>
      </c>
      <c r="AJ72" s="205" t="s">
        <v>58</v>
      </c>
      <c r="AK72" s="197" t="s">
        <v>58</v>
      </c>
      <c r="AL72" s="162" t="s">
        <v>58</v>
      </c>
      <c r="AM72" s="197" t="s">
        <v>58</v>
      </c>
      <c r="AN72" s="205" t="s">
        <v>58</v>
      </c>
      <c r="AO72" s="197" t="s">
        <v>58</v>
      </c>
      <c r="AP72" s="162" t="s">
        <v>58</v>
      </c>
      <c r="AQ72" s="197" t="s">
        <v>58</v>
      </c>
      <c r="AR72" s="162" t="s">
        <v>58</v>
      </c>
      <c r="AS72" s="197" t="s">
        <v>58</v>
      </c>
      <c r="AT72" s="162" t="s">
        <v>58</v>
      </c>
      <c r="AU72" s="197" t="s">
        <v>58</v>
      </c>
      <c r="AV72" s="205" t="s">
        <v>58</v>
      </c>
      <c r="AW72" s="197" t="s">
        <v>58</v>
      </c>
      <c r="AX72" s="162" t="s">
        <v>58</v>
      </c>
      <c r="AY72" s="197" t="s">
        <v>58</v>
      </c>
      <c r="AZ72" s="162" t="s">
        <v>58</v>
      </c>
      <c r="BA72" s="197" t="s">
        <v>58</v>
      </c>
      <c r="BB72" s="162" t="s">
        <v>58</v>
      </c>
      <c r="BC72" s="197" t="s">
        <v>58</v>
      </c>
      <c r="BD72" s="162" t="s">
        <v>58</v>
      </c>
      <c r="BE72" s="197" t="s">
        <v>58</v>
      </c>
      <c r="BF72" s="162" t="s">
        <v>58</v>
      </c>
      <c r="BG72" s="189" t="s">
        <v>58</v>
      </c>
      <c r="BH72" s="162" t="s">
        <v>58</v>
      </c>
    </row>
    <row r="73" spans="1:60" ht="24.95" customHeight="1" x14ac:dyDescent="0.25">
      <c r="A73" s="27"/>
      <c r="B73" s="27"/>
      <c r="C73" s="27"/>
      <c r="D73" s="27"/>
      <c r="E73" s="27"/>
      <c r="F73" s="27"/>
      <c r="G73" s="27"/>
      <c r="H73" s="27"/>
      <c r="J73" s="144"/>
      <c r="K73" s="32">
        <v>74</v>
      </c>
      <c r="L73" s="142"/>
      <c r="M73" s="109"/>
      <c r="N73" s="445"/>
      <c r="O73" s="108"/>
      <c r="AF73" s="44" t="s">
        <v>71</v>
      </c>
      <c r="AG73" s="5" t="s">
        <v>31</v>
      </c>
      <c r="AH73" s="319" t="s">
        <v>15</v>
      </c>
      <c r="AI73" s="195" t="s">
        <v>58</v>
      </c>
      <c r="AJ73" s="203" t="s">
        <v>58</v>
      </c>
      <c r="AK73" s="195" t="s">
        <v>58</v>
      </c>
      <c r="AL73" s="160" t="s">
        <v>58</v>
      </c>
      <c r="AM73" s="195" t="s">
        <v>58</v>
      </c>
      <c r="AN73" s="203" t="s">
        <v>58</v>
      </c>
      <c r="AO73" s="195" t="s">
        <v>58</v>
      </c>
      <c r="AP73" s="160" t="s">
        <v>58</v>
      </c>
      <c r="AQ73" s="195" t="s">
        <v>58</v>
      </c>
      <c r="AR73" s="160" t="s">
        <v>58</v>
      </c>
      <c r="AS73" s="195" t="s">
        <v>58</v>
      </c>
      <c r="AT73" s="160" t="s">
        <v>58</v>
      </c>
      <c r="AU73" s="195" t="s">
        <v>58</v>
      </c>
      <c r="AV73" s="203" t="s">
        <v>58</v>
      </c>
      <c r="AW73" s="195" t="s">
        <v>58</v>
      </c>
      <c r="AX73" s="160" t="s">
        <v>58</v>
      </c>
      <c r="AY73" s="195" t="s">
        <v>58</v>
      </c>
      <c r="AZ73" s="160" t="s">
        <v>58</v>
      </c>
      <c r="BA73" s="195" t="s">
        <v>58</v>
      </c>
      <c r="BB73" s="160" t="s">
        <v>58</v>
      </c>
      <c r="BC73" s="195" t="s">
        <v>58</v>
      </c>
      <c r="BD73" s="160" t="s">
        <v>58</v>
      </c>
      <c r="BE73" s="195" t="s">
        <v>58</v>
      </c>
      <c r="BF73" s="160" t="s">
        <v>58</v>
      </c>
      <c r="BG73" s="187" t="s">
        <v>58</v>
      </c>
      <c r="BH73" s="160" t="s">
        <v>58</v>
      </c>
    </row>
    <row r="74" spans="1:60" ht="24.95" customHeight="1" x14ac:dyDescent="0.25">
      <c r="A74" s="27"/>
      <c r="B74" s="27"/>
      <c r="C74" s="27"/>
      <c r="D74" s="27"/>
      <c r="E74" s="27"/>
      <c r="F74" s="27"/>
      <c r="G74" s="27"/>
      <c r="H74" s="27"/>
      <c r="J74" s="144"/>
      <c r="K74" s="152">
        <v>75</v>
      </c>
      <c r="L74" s="142"/>
      <c r="M74" s="109"/>
      <c r="N74" s="16"/>
      <c r="O74" s="108"/>
      <c r="AF74" s="44" t="s">
        <v>71</v>
      </c>
      <c r="AG74" s="5" t="s">
        <v>32</v>
      </c>
      <c r="AH74" s="319" t="s">
        <v>15</v>
      </c>
      <c r="AI74" s="195" t="s">
        <v>58</v>
      </c>
      <c r="AJ74" s="203" t="s">
        <v>58</v>
      </c>
      <c r="AK74" s="195" t="s">
        <v>58</v>
      </c>
      <c r="AL74" s="160" t="s">
        <v>58</v>
      </c>
      <c r="AM74" s="195" t="s">
        <v>58</v>
      </c>
      <c r="AN74" s="203" t="s">
        <v>58</v>
      </c>
      <c r="AO74" s="195" t="s">
        <v>58</v>
      </c>
      <c r="AP74" s="160" t="s">
        <v>58</v>
      </c>
      <c r="AQ74" s="195" t="s">
        <v>58</v>
      </c>
      <c r="AR74" s="160" t="s">
        <v>58</v>
      </c>
      <c r="AS74" s="195" t="s">
        <v>58</v>
      </c>
      <c r="AT74" s="160" t="s">
        <v>58</v>
      </c>
      <c r="AU74" s="195" t="s">
        <v>58</v>
      </c>
      <c r="AV74" s="203" t="s">
        <v>58</v>
      </c>
      <c r="AW74" s="195" t="s">
        <v>58</v>
      </c>
      <c r="AX74" s="160" t="s">
        <v>58</v>
      </c>
      <c r="AY74" s="195" t="s">
        <v>58</v>
      </c>
      <c r="AZ74" s="160" t="s">
        <v>58</v>
      </c>
      <c r="BA74" s="195" t="s">
        <v>58</v>
      </c>
      <c r="BB74" s="160" t="s">
        <v>58</v>
      </c>
      <c r="BC74" s="195" t="s">
        <v>58</v>
      </c>
      <c r="BD74" s="160" t="s">
        <v>58</v>
      </c>
      <c r="BE74" s="195" t="s">
        <v>58</v>
      </c>
      <c r="BF74" s="160" t="s">
        <v>58</v>
      </c>
      <c r="BG74" s="187" t="s">
        <v>58</v>
      </c>
      <c r="BH74" s="160" t="s">
        <v>58</v>
      </c>
    </row>
    <row r="75" spans="1:60" ht="24.95" customHeight="1" x14ac:dyDescent="0.25">
      <c r="A75" s="61"/>
      <c r="B75" s="62"/>
      <c r="C75" s="62"/>
      <c r="D75" s="62"/>
      <c r="E75" s="62"/>
      <c r="F75" s="62"/>
      <c r="G75" s="62"/>
      <c r="H75" s="62"/>
      <c r="J75" s="144"/>
      <c r="K75" s="32">
        <v>76</v>
      </c>
      <c r="L75" s="142"/>
      <c r="M75" s="109"/>
      <c r="N75" s="359" t="s">
        <v>140</v>
      </c>
      <c r="O75" s="108"/>
      <c r="AF75" s="44" t="s">
        <v>71</v>
      </c>
      <c r="AG75" s="5" t="s">
        <v>88</v>
      </c>
      <c r="AH75" s="319" t="s">
        <v>15</v>
      </c>
      <c r="AI75" s="195" t="s">
        <v>58</v>
      </c>
      <c r="AJ75" s="203" t="s">
        <v>58</v>
      </c>
      <c r="AK75" s="195" t="s">
        <v>58</v>
      </c>
      <c r="AL75" s="160" t="s">
        <v>58</v>
      </c>
      <c r="AM75" s="195" t="s">
        <v>58</v>
      </c>
      <c r="AN75" s="203" t="s">
        <v>58</v>
      </c>
      <c r="AO75" s="195" t="s">
        <v>58</v>
      </c>
      <c r="AP75" s="160" t="s">
        <v>58</v>
      </c>
      <c r="AQ75" s="195" t="s">
        <v>58</v>
      </c>
      <c r="AR75" s="160" t="s">
        <v>58</v>
      </c>
      <c r="AS75" s="195" t="s">
        <v>58</v>
      </c>
      <c r="AT75" s="160" t="s">
        <v>58</v>
      </c>
      <c r="AU75" s="195" t="s">
        <v>58</v>
      </c>
      <c r="AV75" s="203" t="s">
        <v>58</v>
      </c>
      <c r="AW75" s="195" t="s">
        <v>58</v>
      </c>
      <c r="AX75" s="160" t="s">
        <v>58</v>
      </c>
      <c r="AY75" s="195" t="s">
        <v>58</v>
      </c>
      <c r="AZ75" s="160" t="s">
        <v>58</v>
      </c>
      <c r="BA75" s="195" t="s">
        <v>58</v>
      </c>
      <c r="BB75" s="160" t="s">
        <v>58</v>
      </c>
      <c r="BC75" s="195" t="s">
        <v>58</v>
      </c>
      <c r="BD75" s="160" t="s">
        <v>58</v>
      </c>
      <c r="BE75" s="195" t="s">
        <v>58</v>
      </c>
      <c r="BF75" s="160" t="s">
        <v>58</v>
      </c>
      <c r="BG75" s="187" t="s">
        <v>58</v>
      </c>
      <c r="BH75" s="160" t="s">
        <v>58</v>
      </c>
    </row>
    <row r="76" spans="1:60" ht="24.95" customHeight="1" x14ac:dyDescent="0.25">
      <c r="A76" s="443"/>
      <c r="B76" s="63"/>
      <c r="C76" s="63"/>
      <c r="D76" s="63"/>
      <c r="E76" s="444"/>
      <c r="F76" s="64"/>
      <c r="G76" s="444"/>
      <c r="H76" s="453"/>
      <c r="J76" s="144"/>
      <c r="K76" s="32">
        <v>77</v>
      </c>
      <c r="L76" s="153"/>
      <c r="M76" s="110"/>
      <c r="N76" s="445"/>
      <c r="O76" s="108"/>
      <c r="AF76" s="44" t="s">
        <v>94</v>
      </c>
      <c r="AG76" s="5" t="s">
        <v>89</v>
      </c>
      <c r="AH76" s="319" t="s">
        <v>15</v>
      </c>
      <c r="AI76" s="195" t="s">
        <v>58</v>
      </c>
      <c r="AJ76" s="203" t="s">
        <v>58</v>
      </c>
      <c r="AK76" s="195" t="s">
        <v>58</v>
      </c>
      <c r="AL76" s="160" t="s">
        <v>58</v>
      </c>
      <c r="AM76" s="195" t="s">
        <v>58</v>
      </c>
      <c r="AN76" s="203" t="s">
        <v>58</v>
      </c>
      <c r="AO76" s="195" t="s">
        <v>58</v>
      </c>
      <c r="AP76" s="160" t="s">
        <v>58</v>
      </c>
      <c r="AQ76" s="195" t="s">
        <v>58</v>
      </c>
      <c r="AR76" s="160" t="s">
        <v>58</v>
      </c>
      <c r="AS76" s="195" t="s">
        <v>58</v>
      </c>
      <c r="AT76" s="160" t="s">
        <v>58</v>
      </c>
      <c r="AU76" s="195" t="s">
        <v>58</v>
      </c>
      <c r="AV76" s="203" t="s">
        <v>58</v>
      </c>
      <c r="AW76" s="195" t="s">
        <v>58</v>
      </c>
      <c r="AX76" s="160" t="s">
        <v>58</v>
      </c>
      <c r="AY76" s="195" t="s">
        <v>58</v>
      </c>
      <c r="AZ76" s="160" t="s">
        <v>58</v>
      </c>
      <c r="BA76" s="195" t="s">
        <v>58</v>
      </c>
      <c r="BB76" s="160" t="s">
        <v>58</v>
      </c>
      <c r="BC76" s="195" t="s">
        <v>58</v>
      </c>
      <c r="BD76" s="160" t="s">
        <v>58</v>
      </c>
      <c r="BE76" s="195" t="s">
        <v>58</v>
      </c>
      <c r="BF76" s="160" t="s">
        <v>58</v>
      </c>
      <c r="BG76" s="187" t="s">
        <v>58</v>
      </c>
      <c r="BH76" s="160" t="s">
        <v>58</v>
      </c>
    </row>
    <row r="77" spans="1:60" ht="24.95" customHeight="1" x14ac:dyDescent="0.25">
      <c r="A77" s="443"/>
      <c r="B77" s="63"/>
      <c r="C77" s="63"/>
      <c r="D77" s="63"/>
      <c r="E77" s="444"/>
      <c r="F77" s="64"/>
      <c r="G77" s="444"/>
      <c r="H77" s="453"/>
      <c r="J77" s="154"/>
      <c r="K77" s="32">
        <v>78</v>
      </c>
      <c r="L77" s="149"/>
      <c r="M77" s="312"/>
      <c r="N77" s="445"/>
      <c r="O77" s="108"/>
      <c r="AF77" s="44" t="s">
        <v>94</v>
      </c>
      <c r="AG77" s="5" t="s">
        <v>31</v>
      </c>
      <c r="AH77" s="319" t="s">
        <v>15</v>
      </c>
      <c r="AI77" s="195" t="s">
        <v>58</v>
      </c>
      <c r="AJ77" s="203" t="s">
        <v>58</v>
      </c>
      <c r="AK77" s="195" t="s">
        <v>58</v>
      </c>
      <c r="AL77" s="160" t="s">
        <v>58</v>
      </c>
      <c r="AM77" s="195" t="s">
        <v>58</v>
      </c>
      <c r="AN77" s="203" t="s">
        <v>58</v>
      </c>
      <c r="AO77" s="195" t="s">
        <v>58</v>
      </c>
      <c r="AP77" s="160" t="s">
        <v>58</v>
      </c>
      <c r="AQ77" s="195" t="s">
        <v>58</v>
      </c>
      <c r="AR77" s="160" t="s">
        <v>58</v>
      </c>
      <c r="AS77" s="195" t="s">
        <v>58</v>
      </c>
      <c r="AT77" s="160" t="s">
        <v>58</v>
      </c>
      <c r="AU77" s="195" t="s">
        <v>58</v>
      </c>
      <c r="AV77" s="203" t="s">
        <v>58</v>
      </c>
      <c r="AW77" s="195" t="s">
        <v>58</v>
      </c>
      <c r="AX77" s="160" t="s">
        <v>58</v>
      </c>
      <c r="AY77" s="195" t="s">
        <v>58</v>
      </c>
      <c r="AZ77" s="160" t="s">
        <v>58</v>
      </c>
      <c r="BA77" s="195" t="s">
        <v>58</v>
      </c>
      <c r="BB77" s="160" t="s">
        <v>58</v>
      </c>
      <c r="BC77" s="195" t="s">
        <v>58</v>
      </c>
      <c r="BD77" s="160" t="s">
        <v>58</v>
      </c>
      <c r="BE77" s="195" t="s">
        <v>58</v>
      </c>
      <c r="BF77" s="160" t="s">
        <v>58</v>
      </c>
      <c r="BG77" s="187" t="s">
        <v>58</v>
      </c>
      <c r="BH77" s="160" t="s">
        <v>58</v>
      </c>
    </row>
    <row r="78" spans="1:60" ht="24.95" customHeight="1" x14ac:dyDescent="0.25">
      <c r="A78" s="63"/>
      <c r="B78" s="63"/>
      <c r="C78" s="63"/>
      <c r="D78" s="63"/>
      <c r="E78" s="64"/>
      <c r="F78" s="64"/>
      <c r="G78" s="64"/>
      <c r="H78" s="64"/>
      <c r="J78" s="154"/>
      <c r="K78" s="32">
        <v>79</v>
      </c>
      <c r="L78" s="150"/>
      <c r="M78" s="110"/>
      <c r="N78" s="445"/>
      <c r="O78" s="108"/>
      <c r="AF78" s="44" t="s">
        <v>94</v>
      </c>
      <c r="AG78" s="5" t="s">
        <v>32</v>
      </c>
      <c r="AH78" s="319" t="s">
        <v>15</v>
      </c>
      <c r="AI78" s="195" t="s">
        <v>58</v>
      </c>
      <c r="AJ78" s="203" t="s">
        <v>58</v>
      </c>
      <c r="AK78" s="195" t="s">
        <v>58</v>
      </c>
      <c r="AL78" s="160" t="s">
        <v>58</v>
      </c>
      <c r="AM78" s="195" t="s">
        <v>58</v>
      </c>
      <c r="AN78" s="203" t="s">
        <v>58</v>
      </c>
      <c r="AO78" s="195" t="s">
        <v>58</v>
      </c>
      <c r="AP78" s="160" t="s">
        <v>58</v>
      </c>
      <c r="AQ78" s="195" t="s">
        <v>58</v>
      </c>
      <c r="AR78" s="160" t="s">
        <v>58</v>
      </c>
      <c r="AS78" s="195" t="s">
        <v>58</v>
      </c>
      <c r="AT78" s="160" t="s">
        <v>58</v>
      </c>
      <c r="AU78" s="195" t="s">
        <v>58</v>
      </c>
      <c r="AV78" s="203" t="s">
        <v>58</v>
      </c>
      <c r="AW78" s="195" t="s">
        <v>58</v>
      </c>
      <c r="AX78" s="160" t="s">
        <v>58</v>
      </c>
      <c r="AY78" s="195" t="s">
        <v>58</v>
      </c>
      <c r="AZ78" s="160" t="s">
        <v>58</v>
      </c>
      <c r="BA78" s="195" t="s">
        <v>58</v>
      </c>
      <c r="BB78" s="160" t="s">
        <v>58</v>
      </c>
      <c r="BC78" s="195" t="s">
        <v>58</v>
      </c>
      <c r="BD78" s="160" t="s">
        <v>58</v>
      </c>
      <c r="BE78" s="195" t="s">
        <v>58</v>
      </c>
      <c r="BF78" s="160" t="s">
        <v>58</v>
      </c>
      <c r="BG78" s="187" t="s">
        <v>58</v>
      </c>
      <c r="BH78" s="160" t="s">
        <v>58</v>
      </c>
    </row>
    <row r="79" spans="1:60" ht="24.95" customHeight="1" x14ac:dyDescent="0.25">
      <c r="A79" s="315"/>
      <c r="B79" s="63"/>
      <c r="C79" s="63"/>
      <c r="D79" s="63"/>
      <c r="E79" s="64"/>
      <c r="F79" s="65"/>
      <c r="G79" s="64"/>
      <c r="H79" s="64"/>
      <c r="J79" s="154"/>
      <c r="K79" s="32">
        <v>80</v>
      </c>
      <c r="L79" s="150"/>
      <c r="M79" s="110"/>
      <c r="N79" s="445"/>
      <c r="O79" s="108"/>
      <c r="AF79" s="44" t="s">
        <v>94</v>
      </c>
      <c r="AG79" s="5" t="s">
        <v>88</v>
      </c>
      <c r="AH79" s="319" t="s">
        <v>15</v>
      </c>
      <c r="AI79" s="195" t="s">
        <v>58</v>
      </c>
      <c r="AJ79" s="203" t="s">
        <v>58</v>
      </c>
      <c r="AK79" s="195" t="s">
        <v>58</v>
      </c>
      <c r="AL79" s="160" t="s">
        <v>58</v>
      </c>
      <c r="AM79" s="195" t="s">
        <v>58</v>
      </c>
      <c r="AN79" s="203" t="s">
        <v>58</v>
      </c>
      <c r="AO79" s="195" t="s">
        <v>58</v>
      </c>
      <c r="AP79" s="160" t="s">
        <v>58</v>
      </c>
      <c r="AQ79" s="195" t="s">
        <v>58</v>
      </c>
      <c r="AR79" s="160" t="s">
        <v>58</v>
      </c>
      <c r="AS79" s="195" t="s">
        <v>58</v>
      </c>
      <c r="AT79" s="160" t="s">
        <v>58</v>
      </c>
      <c r="AU79" s="195" t="s">
        <v>58</v>
      </c>
      <c r="AV79" s="203" t="s">
        <v>58</v>
      </c>
      <c r="AW79" s="195" t="s">
        <v>58</v>
      </c>
      <c r="AX79" s="160" t="s">
        <v>58</v>
      </c>
      <c r="AY79" s="195" t="s">
        <v>58</v>
      </c>
      <c r="AZ79" s="160" t="s">
        <v>58</v>
      </c>
      <c r="BA79" s="195" t="s">
        <v>58</v>
      </c>
      <c r="BB79" s="160" t="s">
        <v>58</v>
      </c>
      <c r="BC79" s="195" t="s">
        <v>58</v>
      </c>
      <c r="BD79" s="160" t="s">
        <v>58</v>
      </c>
      <c r="BE79" s="195" t="s">
        <v>58</v>
      </c>
      <c r="BF79" s="160" t="s">
        <v>58</v>
      </c>
      <c r="BG79" s="187" t="s">
        <v>58</v>
      </c>
      <c r="BH79" s="160" t="s">
        <v>58</v>
      </c>
    </row>
    <row r="80" spans="1:60" ht="24.95" customHeight="1" x14ac:dyDescent="0.25">
      <c r="A80" s="27"/>
      <c r="B80" s="27"/>
      <c r="C80" s="27"/>
      <c r="D80" s="27"/>
      <c r="E80" s="27"/>
      <c r="F80" s="27"/>
      <c r="G80" s="27"/>
      <c r="H80" s="27"/>
      <c r="J80" s="154"/>
      <c r="K80" s="32">
        <v>81</v>
      </c>
      <c r="L80" s="150"/>
      <c r="M80" s="110"/>
      <c r="N80" s="445"/>
      <c r="O80" s="108"/>
      <c r="AF80" s="44" t="s">
        <v>95</v>
      </c>
      <c r="AG80" s="5" t="s">
        <v>89</v>
      </c>
      <c r="AH80" s="319" t="s">
        <v>15</v>
      </c>
      <c r="AI80" s="195" t="s">
        <v>58</v>
      </c>
      <c r="AJ80" s="203" t="s">
        <v>58</v>
      </c>
      <c r="AK80" s="195" t="s">
        <v>58</v>
      </c>
      <c r="AL80" s="160" t="s">
        <v>58</v>
      </c>
      <c r="AM80" s="195" t="s">
        <v>58</v>
      </c>
      <c r="AN80" s="203" t="s">
        <v>58</v>
      </c>
      <c r="AO80" s="195" t="s">
        <v>58</v>
      </c>
      <c r="AP80" s="160" t="s">
        <v>58</v>
      </c>
      <c r="AQ80" s="195" t="s">
        <v>58</v>
      </c>
      <c r="AR80" s="160" t="s">
        <v>58</v>
      </c>
      <c r="AS80" s="195" t="s">
        <v>58</v>
      </c>
      <c r="AT80" s="160" t="s">
        <v>58</v>
      </c>
      <c r="AU80" s="195" t="s">
        <v>58</v>
      </c>
      <c r="AV80" s="203" t="s">
        <v>58</v>
      </c>
      <c r="AW80" s="195" t="s">
        <v>58</v>
      </c>
      <c r="AX80" s="160" t="s">
        <v>58</v>
      </c>
      <c r="AY80" s="195" t="s">
        <v>58</v>
      </c>
      <c r="AZ80" s="160" t="s">
        <v>58</v>
      </c>
      <c r="BA80" s="195" t="s">
        <v>58</v>
      </c>
      <c r="BB80" s="160" t="s">
        <v>58</v>
      </c>
      <c r="BC80" s="195" t="s">
        <v>58</v>
      </c>
      <c r="BD80" s="160" t="s">
        <v>58</v>
      </c>
      <c r="BE80" s="195" t="s">
        <v>58</v>
      </c>
      <c r="BF80" s="160" t="s">
        <v>58</v>
      </c>
      <c r="BG80" s="187" t="s">
        <v>58</v>
      </c>
      <c r="BH80" s="160" t="s">
        <v>58</v>
      </c>
    </row>
    <row r="81" spans="1:60" ht="24.95" customHeight="1" x14ac:dyDescent="0.25">
      <c r="A81" s="27"/>
      <c r="B81" s="27"/>
      <c r="C81" s="27"/>
      <c r="D81" s="27"/>
      <c r="E81" s="27"/>
      <c r="F81" s="27"/>
      <c r="G81" s="27"/>
      <c r="H81" s="27"/>
      <c r="J81" s="154"/>
      <c r="K81" s="32">
        <v>82</v>
      </c>
      <c r="L81" s="151"/>
      <c r="M81" s="312"/>
      <c r="N81" s="445"/>
      <c r="O81" s="108"/>
      <c r="AF81" s="44" t="s">
        <v>95</v>
      </c>
      <c r="AG81" s="5" t="s">
        <v>31</v>
      </c>
      <c r="AH81" s="319" t="s">
        <v>15</v>
      </c>
      <c r="AI81" s="195" t="s">
        <v>58</v>
      </c>
      <c r="AJ81" s="203" t="s">
        <v>58</v>
      </c>
      <c r="AK81" s="195" t="s">
        <v>58</v>
      </c>
      <c r="AL81" s="160" t="s">
        <v>58</v>
      </c>
      <c r="AM81" s="195" t="s">
        <v>58</v>
      </c>
      <c r="AN81" s="203" t="s">
        <v>58</v>
      </c>
      <c r="AO81" s="195" t="s">
        <v>58</v>
      </c>
      <c r="AP81" s="160" t="s">
        <v>58</v>
      </c>
      <c r="AQ81" s="195" t="s">
        <v>58</v>
      </c>
      <c r="AR81" s="160" t="s">
        <v>58</v>
      </c>
      <c r="AS81" s="195" t="s">
        <v>58</v>
      </c>
      <c r="AT81" s="160" t="s">
        <v>58</v>
      </c>
      <c r="AU81" s="195" t="s">
        <v>58</v>
      </c>
      <c r="AV81" s="203" t="s">
        <v>58</v>
      </c>
      <c r="AW81" s="195" t="s">
        <v>58</v>
      </c>
      <c r="AX81" s="160" t="s">
        <v>58</v>
      </c>
      <c r="AY81" s="195" t="s">
        <v>58</v>
      </c>
      <c r="AZ81" s="160" t="s">
        <v>58</v>
      </c>
      <c r="BA81" s="195" t="s">
        <v>58</v>
      </c>
      <c r="BB81" s="160" t="s">
        <v>58</v>
      </c>
      <c r="BC81" s="195" t="s">
        <v>58</v>
      </c>
      <c r="BD81" s="160" t="s">
        <v>58</v>
      </c>
      <c r="BE81" s="195" t="s">
        <v>58</v>
      </c>
      <c r="BF81" s="160" t="s">
        <v>58</v>
      </c>
      <c r="BG81" s="187" t="s">
        <v>58</v>
      </c>
      <c r="BH81" s="160" t="s">
        <v>58</v>
      </c>
    </row>
    <row r="82" spans="1:60" ht="24.95" customHeight="1" x14ac:dyDescent="0.25">
      <c r="J82" s="154"/>
      <c r="K82" s="32">
        <v>83</v>
      </c>
      <c r="L82" s="151"/>
      <c r="M82" s="312"/>
      <c r="N82" s="445"/>
      <c r="O82" s="108"/>
      <c r="AF82" s="44" t="s">
        <v>95</v>
      </c>
      <c r="AG82" s="5" t="s">
        <v>32</v>
      </c>
      <c r="AH82" s="319" t="s">
        <v>15</v>
      </c>
      <c r="AI82" s="195" t="s">
        <v>58</v>
      </c>
      <c r="AJ82" s="203" t="s">
        <v>58</v>
      </c>
      <c r="AK82" s="195" t="s">
        <v>58</v>
      </c>
      <c r="AL82" s="160" t="s">
        <v>58</v>
      </c>
      <c r="AM82" s="195" t="s">
        <v>58</v>
      </c>
      <c r="AN82" s="203" t="s">
        <v>58</v>
      </c>
      <c r="AO82" s="195" t="s">
        <v>58</v>
      </c>
      <c r="AP82" s="160" t="s">
        <v>58</v>
      </c>
      <c r="AQ82" s="195" t="s">
        <v>58</v>
      </c>
      <c r="AR82" s="160" t="s">
        <v>58</v>
      </c>
      <c r="AS82" s="195" t="s">
        <v>58</v>
      </c>
      <c r="AT82" s="160" t="s">
        <v>58</v>
      </c>
      <c r="AU82" s="195" t="s">
        <v>58</v>
      </c>
      <c r="AV82" s="203" t="s">
        <v>58</v>
      </c>
      <c r="AW82" s="195" t="s">
        <v>58</v>
      </c>
      <c r="AX82" s="160" t="s">
        <v>58</v>
      </c>
      <c r="AY82" s="195" t="s">
        <v>58</v>
      </c>
      <c r="AZ82" s="160" t="s">
        <v>58</v>
      </c>
      <c r="BA82" s="195" t="s">
        <v>58</v>
      </c>
      <c r="BB82" s="160" t="s">
        <v>58</v>
      </c>
      <c r="BC82" s="195" t="s">
        <v>58</v>
      </c>
      <c r="BD82" s="160" t="s">
        <v>58</v>
      </c>
      <c r="BE82" s="195" t="s">
        <v>58</v>
      </c>
      <c r="BF82" s="160" t="s">
        <v>58</v>
      </c>
      <c r="BG82" s="187" t="s">
        <v>58</v>
      </c>
      <c r="BH82" s="160" t="s">
        <v>58</v>
      </c>
    </row>
    <row r="83" spans="1:60" ht="24.95" customHeight="1" x14ac:dyDescent="0.25">
      <c r="J83" s="154"/>
      <c r="K83" s="32">
        <v>84</v>
      </c>
      <c r="L83" s="151"/>
      <c r="M83" s="312"/>
      <c r="N83" s="445"/>
      <c r="O83" s="108"/>
      <c r="AF83" s="44" t="s">
        <v>95</v>
      </c>
      <c r="AG83" s="5" t="s">
        <v>88</v>
      </c>
      <c r="AH83" s="319" t="s">
        <v>15</v>
      </c>
      <c r="AI83" s="195" t="s">
        <v>58</v>
      </c>
      <c r="AJ83" s="203" t="s">
        <v>58</v>
      </c>
      <c r="AK83" s="195" t="s">
        <v>58</v>
      </c>
      <c r="AL83" s="160" t="s">
        <v>58</v>
      </c>
      <c r="AM83" s="195" t="s">
        <v>58</v>
      </c>
      <c r="AN83" s="203" t="s">
        <v>58</v>
      </c>
      <c r="AO83" s="195" t="s">
        <v>58</v>
      </c>
      <c r="AP83" s="160" t="s">
        <v>58</v>
      </c>
      <c r="AQ83" s="195" t="s">
        <v>58</v>
      </c>
      <c r="AR83" s="160" t="s">
        <v>58</v>
      </c>
      <c r="AS83" s="195" t="s">
        <v>58</v>
      </c>
      <c r="AT83" s="160" t="s">
        <v>58</v>
      </c>
      <c r="AU83" s="195" t="s">
        <v>58</v>
      </c>
      <c r="AV83" s="203" t="s">
        <v>58</v>
      </c>
      <c r="AW83" s="195" t="s">
        <v>58</v>
      </c>
      <c r="AX83" s="160" t="s">
        <v>58</v>
      </c>
      <c r="AY83" s="195" t="s">
        <v>58</v>
      </c>
      <c r="AZ83" s="160" t="s">
        <v>58</v>
      </c>
      <c r="BA83" s="195" t="s">
        <v>58</v>
      </c>
      <c r="BB83" s="160" t="s">
        <v>58</v>
      </c>
      <c r="BC83" s="195" t="s">
        <v>58</v>
      </c>
      <c r="BD83" s="160" t="s">
        <v>58</v>
      </c>
      <c r="BE83" s="195" t="s">
        <v>58</v>
      </c>
      <c r="BF83" s="160" t="s">
        <v>58</v>
      </c>
      <c r="BG83" s="187" t="s">
        <v>58</v>
      </c>
      <c r="BH83" s="160" t="s">
        <v>58</v>
      </c>
    </row>
    <row r="84" spans="1:60" ht="24.95" customHeight="1" x14ac:dyDescent="0.25">
      <c r="J84" s="154"/>
      <c r="K84" s="32">
        <v>85</v>
      </c>
      <c r="L84" s="151"/>
      <c r="M84" s="312"/>
      <c r="N84" s="106"/>
      <c r="O84" s="108"/>
      <c r="AF84" s="44" t="s">
        <v>74</v>
      </c>
      <c r="AG84" s="5" t="s">
        <v>89</v>
      </c>
      <c r="AH84" s="319" t="s">
        <v>15</v>
      </c>
      <c r="AI84" s="195" t="s">
        <v>58</v>
      </c>
      <c r="AJ84" s="203" t="s">
        <v>58</v>
      </c>
      <c r="AK84" s="195" t="s">
        <v>58</v>
      </c>
      <c r="AL84" s="160" t="s">
        <v>58</v>
      </c>
      <c r="AM84" s="195" t="s">
        <v>58</v>
      </c>
      <c r="AN84" s="203" t="s">
        <v>58</v>
      </c>
      <c r="AO84" s="195" t="s">
        <v>58</v>
      </c>
      <c r="AP84" s="160" t="s">
        <v>58</v>
      </c>
      <c r="AQ84" s="195" t="s">
        <v>58</v>
      </c>
      <c r="AR84" s="160" t="s">
        <v>58</v>
      </c>
      <c r="AS84" s="195" t="s">
        <v>58</v>
      </c>
      <c r="AT84" s="160" t="s">
        <v>58</v>
      </c>
      <c r="AU84" s="195" t="s">
        <v>58</v>
      </c>
      <c r="AV84" s="203" t="s">
        <v>58</v>
      </c>
      <c r="AW84" s="195" t="s">
        <v>58</v>
      </c>
      <c r="AX84" s="160" t="s">
        <v>58</v>
      </c>
      <c r="AY84" s="195" t="s">
        <v>58</v>
      </c>
      <c r="AZ84" s="160" t="s">
        <v>58</v>
      </c>
      <c r="BA84" s="195" t="s">
        <v>58</v>
      </c>
      <c r="BB84" s="160" t="s">
        <v>58</v>
      </c>
      <c r="BC84" s="195" t="s">
        <v>58</v>
      </c>
      <c r="BD84" s="160" t="s">
        <v>58</v>
      </c>
      <c r="BE84" s="195" t="s">
        <v>58</v>
      </c>
      <c r="BF84" s="160" t="s">
        <v>58</v>
      </c>
      <c r="BG84" s="187" t="s">
        <v>58</v>
      </c>
      <c r="BH84" s="160" t="s">
        <v>58</v>
      </c>
    </row>
    <row r="85" spans="1:60" ht="24.95" customHeight="1" x14ac:dyDescent="0.25">
      <c r="J85" s="154"/>
      <c r="K85" s="32">
        <v>86</v>
      </c>
      <c r="L85" s="151"/>
      <c r="M85" s="312"/>
      <c r="N85" s="359" t="s">
        <v>141</v>
      </c>
      <c r="O85" s="108"/>
      <c r="AF85" s="44" t="s">
        <v>74</v>
      </c>
      <c r="AG85" s="5" t="s">
        <v>31</v>
      </c>
      <c r="AH85" s="319" t="s">
        <v>15</v>
      </c>
      <c r="AI85" s="195" t="s">
        <v>58</v>
      </c>
      <c r="AJ85" s="203" t="s">
        <v>58</v>
      </c>
      <c r="AK85" s="195" t="s">
        <v>58</v>
      </c>
      <c r="AL85" s="160" t="s">
        <v>58</v>
      </c>
      <c r="AM85" s="195" t="s">
        <v>58</v>
      </c>
      <c r="AN85" s="203" t="s">
        <v>58</v>
      </c>
      <c r="AO85" s="195" t="s">
        <v>58</v>
      </c>
      <c r="AP85" s="160" t="s">
        <v>58</v>
      </c>
      <c r="AQ85" s="195" t="s">
        <v>58</v>
      </c>
      <c r="AR85" s="160" t="s">
        <v>58</v>
      </c>
      <c r="AS85" s="195" t="s">
        <v>58</v>
      </c>
      <c r="AT85" s="160" t="s">
        <v>58</v>
      </c>
      <c r="AU85" s="195" t="s">
        <v>58</v>
      </c>
      <c r="AV85" s="203" t="s">
        <v>58</v>
      </c>
      <c r="AW85" s="195" t="s">
        <v>58</v>
      </c>
      <c r="AX85" s="160" t="s">
        <v>58</v>
      </c>
      <c r="AY85" s="195" t="s">
        <v>58</v>
      </c>
      <c r="AZ85" s="160" t="s">
        <v>58</v>
      </c>
      <c r="BA85" s="195" t="s">
        <v>58</v>
      </c>
      <c r="BB85" s="160" t="s">
        <v>58</v>
      </c>
      <c r="BC85" s="195" t="s">
        <v>58</v>
      </c>
      <c r="BD85" s="160" t="s">
        <v>58</v>
      </c>
      <c r="BE85" s="195" t="s">
        <v>58</v>
      </c>
      <c r="BF85" s="160" t="s">
        <v>58</v>
      </c>
      <c r="BG85" s="187" t="s">
        <v>58</v>
      </c>
      <c r="BH85" s="160" t="s">
        <v>58</v>
      </c>
    </row>
    <row r="86" spans="1:60" ht="24.95" customHeight="1" x14ac:dyDescent="0.25">
      <c r="J86" s="154"/>
      <c r="K86" s="32">
        <v>87</v>
      </c>
      <c r="L86" s="151"/>
      <c r="M86" s="312"/>
      <c r="N86" s="445"/>
      <c r="O86" s="108"/>
      <c r="AF86" s="44" t="s">
        <v>74</v>
      </c>
      <c r="AG86" s="5" t="s">
        <v>32</v>
      </c>
      <c r="AH86" s="319" t="s">
        <v>15</v>
      </c>
      <c r="AI86" s="195" t="s">
        <v>58</v>
      </c>
      <c r="AJ86" s="203" t="s">
        <v>58</v>
      </c>
      <c r="AK86" s="195" t="s">
        <v>58</v>
      </c>
      <c r="AL86" s="160" t="s">
        <v>58</v>
      </c>
      <c r="AM86" s="195" t="s">
        <v>58</v>
      </c>
      <c r="AN86" s="203" t="s">
        <v>58</v>
      </c>
      <c r="AO86" s="195" t="s">
        <v>58</v>
      </c>
      <c r="AP86" s="160" t="s">
        <v>58</v>
      </c>
      <c r="AQ86" s="195" t="s">
        <v>58</v>
      </c>
      <c r="AR86" s="160" t="s">
        <v>58</v>
      </c>
      <c r="AS86" s="195" t="s">
        <v>58</v>
      </c>
      <c r="AT86" s="160" t="s">
        <v>58</v>
      </c>
      <c r="AU86" s="195" t="s">
        <v>58</v>
      </c>
      <c r="AV86" s="203" t="s">
        <v>58</v>
      </c>
      <c r="AW86" s="195" t="s">
        <v>58</v>
      </c>
      <c r="AX86" s="160" t="s">
        <v>58</v>
      </c>
      <c r="AY86" s="195" t="s">
        <v>58</v>
      </c>
      <c r="AZ86" s="160" t="s">
        <v>58</v>
      </c>
      <c r="BA86" s="195" t="s">
        <v>58</v>
      </c>
      <c r="BB86" s="160" t="s">
        <v>58</v>
      </c>
      <c r="BC86" s="195" t="s">
        <v>58</v>
      </c>
      <c r="BD86" s="160" t="s">
        <v>58</v>
      </c>
      <c r="BE86" s="195" t="s">
        <v>58</v>
      </c>
      <c r="BF86" s="160" t="s">
        <v>58</v>
      </c>
      <c r="BG86" s="187" t="s">
        <v>58</v>
      </c>
      <c r="BH86" s="160" t="s">
        <v>58</v>
      </c>
    </row>
    <row r="87" spans="1:60" ht="24.95" customHeight="1" x14ac:dyDescent="0.25">
      <c r="J87" s="154"/>
      <c r="K87" s="32">
        <v>88</v>
      </c>
      <c r="L87" s="151"/>
      <c r="M87" s="312"/>
      <c r="N87" s="445"/>
      <c r="O87" s="108"/>
      <c r="AF87" s="44" t="s">
        <v>74</v>
      </c>
      <c r="AG87" s="5" t="s">
        <v>88</v>
      </c>
      <c r="AH87" s="319" t="s">
        <v>15</v>
      </c>
      <c r="AI87" s="195" t="s">
        <v>58</v>
      </c>
      <c r="AJ87" s="203" t="s">
        <v>58</v>
      </c>
      <c r="AK87" s="195" t="s">
        <v>58</v>
      </c>
      <c r="AL87" s="160" t="s">
        <v>58</v>
      </c>
      <c r="AM87" s="195" t="s">
        <v>58</v>
      </c>
      <c r="AN87" s="203" t="s">
        <v>58</v>
      </c>
      <c r="AO87" s="195" t="s">
        <v>58</v>
      </c>
      <c r="AP87" s="160" t="s">
        <v>58</v>
      </c>
      <c r="AQ87" s="195" t="s">
        <v>58</v>
      </c>
      <c r="AR87" s="160" t="s">
        <v>58</v>
      </c>
      <c r="AS87" s="195" t="s">
        <v>58</v>
      </c>
      <c r="AT87" s="160" t="s">
        <v>58</v>
      </c>
      <c r="AU87" s="195" t="s">
        <v>58</v>
      </c>
      <c r="AV87" s="203" t="s">
        <v>58</v>
      </c>
      <c r="AW87" s="195" t="s">
        <v>58</v>
      </c>
      <c r="AX87" s="160" t="s">
        <v>58</v>
      </c>
      <c r="AY87" s="195" t="s">
        <v>58</v>
      </c>
      <c r="AZ87" s="160" t="s">
        <v>58</v>
      </c>
      <c r="BA87" s="195" t="s">
        <v>58</v>
      </c>
      <c r="BB87" s="160" t="s">
        <v>58</v>
      </c>
      <c r="BC87" s="195" t="s">
        <v>58</v>
      </c>
      <c r="BD87" s="160" t="s">
        <v>58</v>
      </c>
      <c r="BE87" s="195" t="s">
        <v>58</v>
      </c>
      <c r="BF87" s="160" t="s">
        <v>58</v>
      </c>
      <c r="BG87" s="187" t="s">
        <v>58</v>
      </c>
      <c r="BH87" s="160" t="s">
        <v>58</v>
      </c>
    </row>
    <row r="88" spans="1:60" ht="24.95" customHeight="1" x14ac:dyDescent="0.25">
      <c r="J88" s="154"/>
      <c r="K88" s="32">
        <v>89</v>
      </c>
      <c r="L88" s="151"/>
      <c r="M88" s="312"/>
      <c r="N88" s="445"/>
      <c r="O88" s="108"/>
      <c r="AF88" s="44" t="s">
        <v>75</v>
      </c>
      <c r="AG88" s="5" t="s">
        <v>89</v>
      </c>
      <c r="AH88" s="319" t="s">
        <v>15</v>
      </c>
      <c r="AI88" s="195" t="s">
        <v>58</v>
      </c>
      <c r="AJ88" s="203" t="s">
        <v>58</v>
      </c>
      <c r="AK88" s="195" t="s">
        <v>58</v>
      </c>
      <c r="AL88" s="160" t="s">
        <v>58</v>
      </c>
      <c r="AM88" s="195" t="s">
        <v>58</v>
      </c>
      <c r="AN88" s="203" t="s">
        <v>58</v>
      </c>
      <c r="AO88" s="195" t="s">
        <v>58</v>
      </c>
      <c r="AP88" s="160" t="s">
        <v>58</v>
      </c>
      <c r="AQ88" s="195" t="s">
        <v>58</v>
      </c>
      <c r="AR88" s="160" t="s">
        <v>58</v>
      </c>
      <c r="AS88" s="195" t="s">
        <v>58</v>
      </c>
      <c r="AT88" s="160" t="s">
        <v>58</v>
      </c>
      <c r="AU88" s="195" t="s">
        <v>58</v>
      </c>
      <c r="AV88" s="203" t="s">
        <v>58</v>
      </c>
      <c r="AW88" s="195" t="s">
        <v>58</v>
      </c>
      <c r="AX88" s="160" t="s">
        <v>58</v>
      </c>
      <c r="AY88" s="195" t="s">
        <v>58</v>
      </c>
      <c r="AZ88" s="160" t="s">
        <v>58</v>
      </c>
      <c r="BA88" s="195" t="s">
        <v>58</v>
      </c>
      <c r="BB88" s="160" t="s">
        <v>58</v>
      </c>
      <c r="BC88" s="195" t="s">
        <v>58</v>
      </c>
      <c r="BD88" s="160" t="s">
        <v>58</v>
      </c>
      <c r="BE88" s="195" t="s">
        <v>58</v>
      </c>
      <c r="BF88" s="160" t="s">
        <v>58</v>
      </c>
      <c r="BG88" s="187" t="s">
        <v>58</v>
      </c>
      <c r="BH88" s="160" t="s">
        <v>58</v>
      </c>
    </row>
    <row r="89" spans="1:60" ht="24.95" customHeight="1" x14ac:dyDescent="0.25">
      <c r="J89" s="154"/>
      <c r="K89" s="32">
        <v>90</v>
      </c>
      <c r="L89" s="151"/>
      <c r="M89" s="312"/>
      <c r="N89" s="445"/>
      <c r="O89" s="108"/>
      <c r="AF89" s="44" t="s">
        <v>75</v>
      </c>
      <c r="AG89" s="5" t="s">
        <v>31</v>
      </c>
      <c r="AH89" s="319" t="s">
        <v>15</v>
      </c>
      <c r="AI89" s="195" t="s">
        <v>58</v>
      </c>
      <c r="AJ89" s="203" t="s">
        <v>58</v>
      </c>
      <c r="AK89" s="195" t="s">
        <v>58</v>
      </c>
      <c r="AL89" s="160" t="s">
        <v>58</v>
      </c>
      <c r="AM89" s="195" t="s">
        <v>58</v>
      </c>
      <c r="AN89" s="203" t="s">
        <v>58</v>
      </c>
      <c r="AO89" s="195" t="s">
        <v>58</v>
      </c>
      <c r="AP89" s="160" t="s">
        <v>58</v>
      </c>
      <c r="AQ89" s="195" t="s">
        <v>58</v>
      </c>
      <c r="AR89" s="160" t="s">
        <v>58</v>
      </c>
      <c r="AS89" s="195" t="s">
        <v>58</v>
      </c>
      <c r="AT89" s="160" t="s">
        <v>58</v>
      </c>
      <c r="AU89" s="195" t="s">
        <v>58</v>
      </c>
      <c r="AV89" s="203" t="s">
        <v>58</v>
      </c>
      <c r="AW89" s="195" t="s">
        <v>58</v>
      </c>
      <c r="AX89" s="160" t="s">
        <v>58</v>
      </c>
      <c r="AY89" s="195" t="s">
        <v>58</v>
      </c>
      <c r="AZ89" s="160" t="s">
        <v>58</v>
      </c>
      <c r="BA89" s="195" t="s">
        <v>58</v>
      </c>
      <c r="BB89" s="160" t="s">
        <v>58</v>
      </c>
      <c r="BC89" s="195" t="s">
        <v>58</v>
      </c>
      <c r="BD89" s="160" t="s">
        <v>58</v>
      </c>
      <c r="BE89" s="195" t="s">
        <v>58</v>
      </c>
      <c r="BF89" s="160" t="s">
        <v>58</v>
      </c>
      <c r="BG89" s="187" t="s">
        <v>58</v>
      </c>
      <c r="BH89" s="160" t="s">
        <v>58</v>
      </c>
    </row>
    <row r="90" spans="1:60" ht="24.95" customHeight="1" x14ac:dyDescent="0.25">
      <c r="J90" s="154"/>
      <c r="K90" s="32">
        <v>91</v>
      </c>
      <c r="L90" s="151"/>
      <c r="M90" s="312"/>
      <c r="N90" s="445"/>
      <c r="O90" s="108"/>
      <c r="AF90" s="44" t="s">
        <v>75</v>
      </c>
      <c r="AG90" s="5" t="s">
        <v>32</v>
      </c>
      <c r="AH90" s="319" t="s">
        <v>15</v>
      </c>
      <c r="AI90" s="195" t="s">
        <v>58</v>
      </c>
      <c r="AJ90" s="203" t="s">
        <v>58</v>
      </c>
      <c r="AK90" s="195" t="s">
        <v>58</v>
      </c>
      <c r="AL90" s="160" t="s">
        <v>58</v>
      </c>
      <c r="AM90" s="195" t="s">
        <v>58</v>
      </c>
      <c r="AN90" s="203" t="s">
        <v>58</v>
      </c>
      <c r="AO90" s="195" t="s">
        <v>58</v>
      </c>
      <c r="AP90" s="160" t="s">
        <v>58</v>
      </c>
      <c r="AQ90" s="195" t="s">
        <v>58</v>
      </c>
      <c r="AR90" s="160" t="s">
        <v>58</v>
      </c>
      <c r="AS90" s="195" t="s">
        <v>58</v>
      </c>
      <c r="AT90" s="160" t="s">
        <v>58</v>
      </c>
      <c r="AU90" s="195" t="s">
        <v>58</v>
      </c>
      <c r="AV90" s="203" t="s">
        <v>58</v>
      </c>
      <c r="AW90" s="195" t="s">
        <v>58</v>
      </c>
      <c r="AX90" s="160" t="s">
        <v>58</v>
      </c>
      <c r="AY90" s="195" t="s">
        <v>58</v>
      </c>
      <c r="AZ90" s="160" t="s">
        <v>58</v>
      </c>
      <c r="BA90" s="195" t="s">
        <v>58</v>
      </c>
      <c r="BB90" s="160" t="s">
        <v>58</v>
      </c>
      <c r="BC90" s="195" t="s">
        <v>58</v>
      </c>
      <c r="BD90" s="160" t="s">
        <v>58</v>
      </c>
      <c r="BE90" s="195" t="s">
        <v>58</v>
      </c>
      <c r="BF90" s="160" t="s">
        <v>58</v>
      </c>
      <c r="BG90" s="187" t="s">
        <v>58</v>
      </c>
      <c r="BH90" s="160" t="s">
        <v>58</v>
      </c>
    </row>
    <row r="91" spans="1:60" ht="24.95" customHeight="1" x14ac:dyDescent="0.25">
      <c r="J91" s="154"/>
      <c r="K91" s="32">
        <v>92</v>
      </c>
      <c r="L91" s="151"/>
      <c r="M91" s="312"/>
      <c r="N91" s="445"/>
      <c r="O91" s="108"/>
      <c r="AF91" s="44" t="s">
        <v>75</v>
      </c>
      <c r="AG91" s="5" t="s">
        <v>88</v>
      </c>
      <c r="AH91" s="319" t="s">
        <v>15</v>
      </c>
      <c r="AI91" s="195" t="s">
        <v>58</v>
      </c>
      <c r="AJ91" s="203" t="s">
        <v>58</v>
      </c>
      <c r="AK91" s="195" t="s">
        <v>58</v>
      </c>
      <c r="AL91" s="160" t="s">
        <v>58</v>
      </c>
      <c r="AM91" s="195" t="s">
        <v>58</v>
      </c>
      <c r="AN91" s="203" t="s">
        <v>58</v>
      </c>
      <c r="AO91" s="195" t="s">
        <v>58</v>
      </c>
      <c r="AP91" s="160" t="s">
        <v>58</v>
      </c>
      <c r="AQ91" s="195" t="s">
        <v>58</v>
      </c>
      <c r="AR91" s="160" t="s">
        <v>58</v>
      </c>
      <c r="AS91" s="195" t="s">
        <v>58</v>
      </c>
      <c r="AT91" s="160" t="s">
        <v>58</v>
      </c>
      <c r="AU91" s="195" t="s">
        <v>58</v>
      </c>
      <c r="AV91" s="203" t="s">
        <v>58</v>
      </c>
      <c r="AW91" s="195" t="s">
        <v>58</v>
      </c>
      <c r="AX91" s="160" t="s">
        <v>58</v>
      </c>
      <c r="AY91" s="195" t="s">
        <v>58</v>
      </c>
      <c r="AZ91" s="160" t="s">
        <v>58</v>
      </c>
      <c r="BA91" s="195" t="s">
        <v>58</v>
      </c>
      <c r="BB91" s="160" t="s">
        <v>58</v>
      </c>
      <c r="BC91" s="195" t="s">
        <v>58</v>
      </c>
      <c r="BD91" s="160" t="s">
        <v>58</v>
      </c>
      <c r="BE91" s="195" t="s">
        <v>58</v>
      </c>
      <c r="BF91" s="160" t="s">
        <v>58</v>
      </c>
      <c r="BG91" s="187" t="s">
        <v>58</v>
      </c>
      <c r="BH91" s="160" t="s">
        <v>58</v>
      </c>
    </row>
    <row r="92" spans="1:60" ht="24.95" customHeight="1" x14ac:dyDescent="0.25">
      <c r="J92" s="154"/>
      <c r="K92" s="32">
        <v>93</v>
      </c>
      <c r="L92" s="151"/>
      <c r="M92" s="312"/>
      <c r="N92" s="445"/>
      <c r="O92" s="108"/>
      <c r="AF92" s="44" t="s">
        <v>96</v>
      </c>
      <c r="AG92" s="5" t="s">
        <v>89</v>
      </c>
      <c r="AH92" s="319" t="s">
        <v>15</v>
      </c>
      <c r="AI92" s="195" t="s">
        <v>58</v>
      </c>
      <c r="AJ92" s="203" t="s">
        <v>58</v>
      </c>
      <c r="AK92" s="195" t="s">
        <v>58</v>
      </c>
      <c r="AL92" s="160" t="s">
        <v>58</v>
      </c>
      <c r="AM92" s="195" t="s">
        <v>58</v>
      </c>
      <c r="AN92" s="203" t="s">
        <v>58</v>
      </c>
      <c r="AO92" s="195" t="s">
        <v>58</v>
      </c>
      <c r="AP92" s="160" t="s">
        <v>58</v>
      </c>
      <c r="AQ92" s="195" t="s">
        <v>58</v>
      </c>
      <c r="AR92" s="160" t="s">
        <v>58</v>
      </c>
      <c r="AS92" s="195" t="s">
        <v>58</v>
      </c>
      <c r="AT92" s="160" t="s">
        <v>58</v>
      </c>
      <c r="AU92" s="195" t="s">
        <v>58</v>
      </c>
      <c r="AV92" s="203" t="s">
        <v>58</v>
      </c>
      <c r="AW92" s="195" t="s">
        <v>58</v>
      </c>
      <c r="AX92" s="160" t="s">
        <v>58</v>
      </c>
      <c r="AY92" s="195" t="s">
        <v>58</v>
      </c>
      <c r="AZ92" s="160" t="s">
        <v>58</v>
      </c>
      <c r="BA92" s="195" t="s">
        <v>58</v>
      </c>
      <c r="BB92" s="160" t="s">
        <v>58</v>
      </c>
      <c r="BC92" s="195" t="s">
        <v>58</v>
      </c>
      <c r="BD92" s="160" t="s">
        <v>58</v>
      </c>
      <c r="BE92" s="195" t="s">
        <v>58</v>
      </c>
      <c r="BF92" s="160" t="s">
        <v>58</v>
      </c>
      <c r="BG92" s="187" t="s">
        <v>58</v>
      </c>
      <c r="BH92" s="160" t="s">
        <v>58</v>
      </c>
    </row>
    <row r="93" spans="1:60" ht="24.95" customHeight="1" x14ac:dyDescent="0.25">
      <c r="J93" s="154"/>
      <c r="K93" s="32">
        <v>94</v>
      </c>
      <c r="L93" s="151"/>
      <c r="M93" s="312"/>
      <c r="N93" s="445"/>
      <c r="O93" s="108"/>
      <c r="AF93" s="44" t="s">
        <v>96</v>
      </c>
      <c r="AG93" s="5" t="s">
        <v>31</v>
      </c>
      <c r="AH93" s="319" t="s">
        <v>15</v>
      </c>
      <c r="AI93" s="195" t="s">
        <v>58</v>
      </c>
      <c r="AJ93" s="203" t="s">
        <v>58</v>
      </c>
      <c r="AK93" s="195" t="s">
        <v>58</v>
      </c>
      <c r="AL93" s="160" t="s">
        <v>58</v>
      </c>
      <c r="AM93" s="195" t="s">
        <v>58</v>
      </c>
      <c r="AN93" s="203" t="s">
        <v>58</v>
      </c>
      <c r="AO93" s="195" t="s">
        <v>58</v>
      </c>
      <c r="AP93" s="160" t="s">
        <v>58</v>
      </c>
      <c r="AQ93" s="195" t="s">
        <v>58</v>
      </c>
      <c r="AR93" s="160" t="s">
        <v>58</v>
      </c>
      <c r="AS93" s="195" t="s">
        <v>58</v>
      </c>
      <c r="AT93" s="160" t="s">
        <v>58</v>
      </c>
      <c r="AU93" s="195" t="s">
        <v>58</v>
      </c>
      <c r="AV93" s="203" t="s">
        <v>58</v>
      </c>
      <c r="AW93" s="195" t="s">
        <v>58</v>
      </c>
      <c r="AX93" s="160" t="s">
        <v>58</v>
      </c>
      <c r="AY93" s="195" t="s">
        <v>58</v>
      </c>
      <c r="AZ93" s="160" t="s">
        <v>58</v>
      </c>
      <c r="BA93" s="195" t="s">
        <v>58</v>
      </c>
      <c r="BB93" s="160" t="s">
        <v>58</v>
      </c>
      <c r="BC93" s="195" t="s">
        <v>58</v>
      </c>
      <c r="BD93" s="160" t="s">
        <v>58</v>
      </c>
      <c r="BE93" s="195" t="s">
        <v>58</v>
      </c>
      <c r="BF93" s="160" t="s">
        <v>58</v>
      </c>
      <c r="BG93" s="187" t="s">
        <v>58</v>
      </c>
      <c r="BH93" s="160" t="s">
        <v>58</v>
      </c>
    </row>
    <row r="94" spans="1:60" ht="18.75" x14ac:dyDescent="0.25">
      <c r="J94" s="154"/>
      <c r="K94" s="32">
        <v>95</v>
      </c>
      <c r="L94" s="151"/>
      <c r="M94" s="312"/>
      <c r="N94" s="106"/>
      <c r="O94" s="108"/>
      <c r="AF94" s="44" t="s">
        <v>96</v>
      </c>
      <c r="AG94" s="5" t="s">
        <v>32</v>
      </c>
      <c r="AH94" s="319" t="s">
        <v>15</v>
      </c>
      <c r="AI94" s="195" t="s">
        <v>58</v>
      </c>
      <c r="AJ94" s="203" t="s">
        <v>58</v>
      </c>
      <c r="AK94" s="195" t="s">
        <v>58</v>
      </c>
      <c r="AL94" s="160" t="s">
        <v>58</v>
      </c>
      <c r="AM94" s="195" t="s">
        <v>58</v>
      </c>
      <c r="AN94" s="203" t="s">
        <v>58</v>
      </c>
      <c r="AO94" s="195" t="s">
        <v>58</v>
      </c>
      <c r="AP94" s="160" t="s">
        <v>58</v>
      </c>
      <c r="AQ94" s="195" t="s">
        <v>58</v>
      </c>
      <c r="AR94" s="160" t="s">
        <v>58</v>
      </c>
      <c r="AS94" s="195" t="s">
        <v>58</v>
      </c>
      <c r="AT94" s="160" t="s">
        <v>58</v>
      </c>
      <c r="AU94" s="195" t="s">
        <v>58</v>
      </c>
      <c r="AV94" s="203" t="s">
        <v>58</v>
      </c>
      <c r="AW94" s="195" t="s">
        <v>58</v>
      </c>
      <c r="AX94" s="160" t="s">
        <v>58</v>
      </c>
      <c r="AY94" s="195" t="s">
        <v>58</v>
      </c>
      <c r="AZ94" s="160" t="s">
        <v>58</v>
      </c>
      <c r="BA94" s="195" t="s">
        <v>58</v>
      </c>
      <c r="BB94" s="160" t="s">
        <v>58</v>
      </c>
      <c r="BC94" s="195" t="s">
        <v>58</v>
      </c>
      <c r="BD94" s="160" t="s">
        <v>58</v>
      </c>
      <c r="BE94" s="195" t="s">
        <v>58</v>
      </c>
      <c r="BF94" s="160" t="s">
        <v>58</v>
      </c>
      <c r="BG94" s="187" t="s">
        <v>58</v>
      </c>
      <c r="BH94" s="160" t="s">
        <v>58</v>
      </c>
    </row>
    <row r="95" spans="1:60" ht="19.5" thickBot="1" x14ac:dyDescent="0.3">
      <c r="J95" s="154"/>
      <c r="K95" s="32">
        <v>96</v>
      </c>
      <c r="L95" s="151"/>
      <c r="M95" s="111"/>
      <c r="N95" s="112"/>
      <c r="O95" s="113"/>
      <c r="AF95" s="44" t="s">
        <v>96</v>
      </c>
      <c r="AG95" s="5" t="s">
        <v>88</v>
      </c>
      <c r="AH95" s="319" t="s">
        <v>15</v>
      </c>
      <c r="AI95" s="195" t="s">
        <v>58</v>
      </c>
      <c r="AJ95" s="203" t="s">
        <v>58</v>
      </c>
      <c r="AK95" s="195" t="s">
        <v>58</v>
      </c>
      <c r="AL95" s="160" t="s">
        <v>58</v>
      </c>
      <c r="AM95" s="195" t="s">
        <v>58</v>
      </c>
      <c r="AN95" s="203" t="s">
        <v>58</v>
      </c>
      <c r="AO95" s="195" t="s">
        <v>58</v>
      </c>
      <c r="AP95" s="160" t="s">
        <v>58</v>
      </c>
      <c r="AQ95" s="195" t="s">
        <v>58</v>
      </c>
      <c r="AR95" s="160" t="s">
        <v>58</v>
      </c>
      <c r="AS95" s="195" t="s">
        <v>58</v>
      </c>
      <c r="AT95" s="160" t="s">
        <v>58</v>
      </c>
      <c r="AU95" s="195" t="s">
        <v>58</v>
      </c>
      <c r="AV95" s="203" t="s">
        <v>58</v>
      </c>
      <c r="AW95" s="195" t="s">
        <v>58</v>
      </c>
      <c r="AX95" s="160" t="s">
        <v>58</v>
      </c>
      <c r="AY95" s="195" t="s">
        <v>58</v>
      </c>
      <c r="AZ95" s="160" t="s">
        <v>58</v>
      </c>
      <c r="BA95" s="195" t="s">
        <v>58</v>
      </c>
      <c r="BB95" s="160" t="s">
        <v>58</v>
      </c>
      <c r="BC95" s="195" t="s">
        <v>58</v>
      </c>
      <c r="BD95" s="160" t="s">
        <v>58</v>
      </c>
      <c r="BE95" s="195" t="s">
        <v>58</v>
      </c>
      <c r="BF95" s="160" t="s">
        <v>58</v>
      </c>
      <c r="BG95" s="187" t="s">
        <v>58</v>
      </c>
      <c r="BH95" s="160" t="s">
        <v>58</v>
      </c>
    </row>
    <row r="96" spans="1:60" ht="19.5" thickTop="1" x14ac:dyDescent="0.25">
      <c r="J96" s="154"/>
      <c r="K96" s="32">
        <v>97</v>
      </c>
      <c r="L96" s="157"/>
      <c r="M96" s="83"/>
      <c r="N96" s="83"/>
      <c r="AF96" s="44" t="s">
        <v>97</v>
      </c>
      <c r="AG96" s="5" t="s">
        <v>89</v>
      </c>
      <c r="AH96" s="319" t="s">
        <v>15</v>
      </c>
      <c r="AI96" s="195" t="s">
        <v>58</v>
      </c>
      <c r="AJ96" s="203" t="s">
        <v>58</v>
      </c>
      <c r="AK96" s="195" t="s">
        <v>58</v>
      </c>
      <c r="AL96" s="160" t="s">
        <v>58</v>
      </c>
      <c r="AM96" s="195" t="s">
        <v>58</v>
      </c>
      <c r="AN96" s="203" t="s">
        <v>58</v>
      </c>
      <c r="AO96" s="195" t="s">
        <v>58</v>
      </c>
      <c r="AP96" s="160" t="s">
        <v>58</v>
      </c>
      <c r="AQ96" s="195" t="s">
        <v>58</v>
      </c>
      <c r="AR96" s="160" t="s">
        <v>58</v>
      </c>
      <c r="AS96" s="195" t="s">
        <v>58</v>
      </c>
      <c r="AT96" s="160" t="s">
        <v>58</v>
      </c>
      <c r="AU96" s="195" t="s">
        <v>58</v>
      </c>
      <c r="AV96" s="203" t="s">
        <v>58</v>
      </c>
      <c r="AW96" s="195" t="s">
        <v>58</v>
      </c>
      <c r="AX96" s="160" t="s">
        <v>58</v>
      </c>
      <c r="AY96" s="195" t="s">
        <v>58</v>
      </c>
      <c r="AZ96" s="160" t="s">
        <v>58</v>
      </c>
      <c r="BA96" s="195" t="s">
        <v>58</v>
      </c>
      <c r="BB96" s="160" t="s">
        <v>58</v>
      </c>
      <c r="BC96" s="195" t="s">
        <v>58</v>
      </c>
      <c r="BD96" s="160" t="s">
        <v>58</v>
      </c>
      <c r="BE96" s="195" t="s">
        <v>58</v>
      </c>
      <c r="BF96" s="160" t="s">
        <v>58</v>
      </c>
      <c r="BG96" s="187" t="s">
        <v>58</v>
      </c>
      <c r="BH96" s="160" t="s">
        <v>58</v>
      </c>
    </row>
    <row r="97" spans="10:60" ht="18.75" x14ac:dyDescent="0.25">
      <c r="J97" s="154"/>
      <c r="K97" s="32">
        <v>98</v>
      </c>
      <c r="L97" s="157"/>
      <c r="M97" s="83"/>
      <c r="N97" s="83"/>
      <c r="AF97" s="44" t="s">
        <v>97</v>
      </c>
      <c r="AG97" s="5" t="s">
        <v>31</v>
      </c>
      <c r="AH97" s="319" t="s">
        <v>15</v>
      </c>
      <c r="AI97" s="195" t="s">
        <v>58</v>
      </c>
      <c r="AJ97" s="203" t="s">
        <v>58</v>
      </c>
      <c r="AK97" s="195" t="s">
        <v>58</v>
      </c>
      <c r="AL97" s="160" t="s">
        <v>58</v>
      </c>
      <c r="AM97" s="195" t="s">
        <v>58</v>
      </c>
      <c r="AN97" s="203" t="s">
        <v>58</v>
      </c>
      <c r="AO97" s="195" t="s">
        <v>58</v>
      </c>
      <c r="AP97" s="160" t="s">
        <v>58</v>
      </c>
      <c r="AQ97" s="195" t="s">
        <v>58</v>
      </c>
      <c r="AR97" s="160" t="s">
        <v>58</v>
      </c>
      <c r="AS97" s="195" t="s">
        <v>58</v>
      </c>
      <c r="AT97" s="160" t="s">
        <v>58</v>
      </c>
      <c r="AU97" s="195" t="s">
        <v>58</v>
      </c>
      <c r="AV97" s="203" t="s">
        <v>58</v>
      </c>
      <c r="AW97" s="195" t="s">
        <v>58</v>
      </c>
      <c r="AX97" s="160" t="s">
        <v>58</v>
      </c>
      <c r="AY97" s="195" t="s">
        <v>58</v>
      </c>
      <c r="AZ97" s="160" t="s">
        <v>58</v>
      </c>
      <c r="BA97" s="195" t="s">
        <v>58</v>
      </c>
      <c r="BB97" s="160" t="s">
        <v>58</v>
      </c>
      <c r="BC97" s="195" t="s">
        <v>58</v>
      </c>
      <c r="BD97" s="160" t="s">
        <v>58</v>
      </c>
      <c r="BE97" s="195" t="s">
        <v>58</v>
      </c>
      <c r="BF97" s="160" t="s">
        <v>58</v>
      </c>
      <c r="BG97" s="187" t="s">
        <v>58</v>
      </c>
      <c r="BH97" s="160" t="s">
        <v>58</v>
      </c>
    </row>
    <row r="98" spans="10:60" ht="18.75" x14ac:dyDescent="0.25">
      <c r="J98" s="154"/>
      <c r="K98" s="32">
        <v>99</v>
      </c>
      <c r="L98" s="157"/>
      <c r="M98" s="83"/>
      <c r="N98" s="83"/>
      <c r="AF98" s="44" t="s">
        <v>97</v>
      </c>
      <c r="AG98" s="5" t="s">
        <v>32</v>
      </c>
      <c r="AH98" s="319" t="s">
        <v>15</v>
      </c>
      <c r="AI98" s="195" t="s">
        <v>58</v>
      </c>
      <c r="AJ98" s="203" t="s">
        <v>58</v>
      </c>
      <c r="AK98" s="195" t="s">
        <v>58</v>
      </c>
      <c r="AL98" s="160" t="s">
        <v>58</v>
      </c>
      <c r="AM98" s="195" t="s">
        <v>58</v>
      </c>
      <c r="AN98" s="203" t="s">
        <v>58</v>
      </c>
      <c r="AO98" s="195" t="s">
        <v>58</v>
      </c>
      <c r="AP98" s="160" t="s">
        <v>58</v>
      </c>
      <c r="AQ98" s="195" t="s">
        <v>58</v>
      </c>
      <c r="AR98" s="160" t="s">
        <v>58</v>
      </c>
      <c r="AS98" s="195" t="s">
        <v>58</v>
      </c>
      <c r="AT98" s="160" t="s">
        <v>58</v>
      </c>
      <c r="AU98" s="195" t="s">
        <v>58</v>
      </c>
      <c r="AV98" s="203" t="s">
        <v>58</v>
      </c>
      <c r="AW98" s="195" t="s">
        <v>58</v>
      </c>
      <c r="AX98" s="160" t="s">
        <v>58</v>
      </c>
      <c r="AY98" s="195" t="s">
        <v>58</v>
      </c>
      <c r="AZ98" s="160" t="s">
        <v>58</v>
      </c>
      <c r="BA98" s="195" t="s">
        <v>58</v>
      </c>
      <c r="BB98" s="160" t="s">
        <v>58</v>
      </c>
      <c r="BC98" s="195" t="s">
        <v>58</v>
      </c>
      <c r="BD98" s="160" t="s">
        <v>58</v>
      </c>
      <c r="BE98" s="195" t="s">
        <v>58</v>
      </c>
      <c r="BF98" s="160" t="s">
        <v>58</v>
      </c>
      <c r="BG98" s="187" t="s">
        <v>58</v>
      </c>
      <c r="BH98" s="160" t="s">
        <v>58</v>
      </c>
    </row>
    <row r="99" spans="10:60" ht="18.75" x14ac:dyDescent="0.25">
      <c r="J99" s="154"/>
      <c r="K99" s="293">
        <v>100</v>
      </c>
      <c r="L99" s="157"/>
      <c r="M99" s="83"/>
      <c r="N99" s="83"/>
      <c r="AF99" s="42" t="s">
        <v>97</v>
      </c>
      <c r="AG99" s="34" t="s">
        <v>88</v>
      </c>
      <c r="AH99" s="321" t="s">
        <v>15</v>
      </c>
      <c r="AI99" s="198" t="s">
        <v>58</v>
      </c>
      <c r="AJ99" s="206" t="s">
        <v>58</v>
      </c>
      <c r="AK99" s="198" t="s">
        <v>58</v>
      </c>
      <c r="AL99" s="163" t="s">
        <v>58</v>
      </c>
      <c r="AM99" s="198" t="s">
        <v>58</v>
      </c>
      <c r="AN99" s="206" t="s">
        <v>58</v>
      </c>
      <c r="AO99" s="198" t="s">
        <v>58</v>
      </c>
      <c r="AP99" s="163" t="s">
        <v>58</v>
      </c>
      <c r="AQ99" s="198" t="s">
        <v>58</v>
      </c>
      <c r="AR99" s="163" t="s">
        <v>58</v>
      </c>
      <c r="AS99" s="198" t="s">
        <v>58</v>
      </c>
      <c r="AT99" s="163" t="s">
        <v>58</v>
      </c>
      <c r="AU99" s="198" t="s">
        <v>58</v>
      </c>
      <c r="AV99" s="206" t="s">
        <v>58</v>
      </c>
      <c r="AW99" s="198" t="s">
        <v>58</v>
      </c>
      <c r="AX99" s="163" t="s">
        <v>58</v>
      </c>
      <c r="AY99" s="198" t="s">
        <v>58</v>
      </c>
      <c r="AZ99" s="163" t="s">
        <v>58</v>
      </c>
      <c r="BA99" s="198" t="s">
        <v>58</v>
      </c>
      <c r="BB99" s="163" t="s">
        <v>58</v>
      </c>
      <c r="BC99" s="198" t="s">
        <v>58</v>
      </c>
      <c r="BD99" s="163" t="s">
        <v>58</v>
      </c>
      <c r="BE99" s="198" t="s">
        <v>58</v>
      </c>
      <c r="BF99" s="163" t="s">
        <v>58</v>
      </c>
      <c r="BG99" s="190" t="s">
        <v>58</v>
      </c>
      <c r="BH99" s="163" t="s">
        <v>58</v>
      </c>
    </row>
    <row r="100" spans="10:60" ht="18.75" x14ac:dyDescent="0.25">
      <c r="J100" s="154"/>
      <c r="K100" s="294"/>
      <c r="L100" s="157"/>
      <c r="M100" s="83"/>
      <c r="N100" s="83"/>
      <c r="AF100" s="44" t="s">
        <v>86</v>
      </c>
      <c r="AG100" s="5" t="s">
        <v>89</v>
      </c>
      <c r="AH100" s="319" t="s">
        <v>15</v>
      </c>
      <c r="AI100" s="195" t="s">
        <v>87</v>
      </c>
      <c r="AJ100" s="203" t="s">
        <v>87</v>
      </c>
      <c r="AK100" s="195" t="s">
        <v>87</v>
      </c>
      <c r="AL100" s="160" t="s">
        <v>87</v>
      </c>
      <c r="AM100" s="195" t="s">
        <v>87</v>
      </c>
      <c r="AN100" s="203" t="s">
        <v>87</v>
      </c>
      <c r="AO100" s="195" t="s">
        <v>87</v>
      </c>
      <c r="AP100" s="160" t="s">
        <v>87</v>
      </c>
      <c r="AQ100" s="195" t="s">
        <v>87</v>
      </c>
      <c r="AR100" s="160" t="s">
        <v>87</v>
      </c>
      <c r="AS100" s="195" t="s">
        <v>87</v>
      </c>
      <c r="AT100" s="160" t="s">
        <v>87</v>
      </c>
      <c r="AU100" s="195" t="s">
        <v>87</v>
      </c>
      <c r="AV100" s="203" t="s">
        <v>87</v>
      </c>
      <c r="AW100" s="195" t="s">
        <v>87</v>
      </c>
      <c r="AX100" s="160" t="s">
        <v>87</v>
      </c>
      <c r="AY100" s="195" t="s">
        <v>87</v>
      </c>
      <c r="AZ100" s="160" t="s">
        <v>87</v>
      </c>
      <c r="BA100" s="195" t="s">
        <v>87</v>
      </c>
      <c r="BB100" s="160" t="s">
        <v>87</v>
      </c>
      <c r="BC100" s="195" t="s">
        <v>87</v>
      </c>
      <c r="BD100" s="160" t="s">
        <v>87</v>
      </c>
      <c r="BE100" s="195" t="s">
        <v>87</v>
      </c>
      <c r="BF100" s="160" t="s">
        <v>87</v>
      </c>
      <c r="BG100" s="187" t="s">
        <v>87</v>
      </c>
      <c r="BH100" s="160" t="s">
        <v>87</v>
      </c>
    </row>
    <row r="101" spans="10:60" ht="18.75" x14ac:dyDescent="0.25">
      <c r="J101" s="154"/>
      <c r="K101" s="295"/>
      <c r="L101" s="157"/>
      <c r="M101" s="83"/>
      <c r="N101" s="83"/>
      <c r="AF101" s="44" t="s">
        <v>86</v>
      </c>
      <c r="AG101" s="5" t="s">
        <v>31</v>
      </c>
      <c r="AH101" s="319" t="s">
        <v>15</v>
      </c>
      <c r="AI101" s="195" t="s">
        <v>87</v>
      </c>
      <c r="AJ101" s="203" t="s">
        <v>87</v>
      </c>
      <c r="AK101" s="195" t="s">
        <v>87</v>
      </c>
      <c r="AL101" s="160" t="s">
        <v>87</v>
      </c>
      <c r="AM101" s="195" t="s">
        <v>87</v>
      </c>
      <c r="AN101" s="203" t="s">
        <v>87</v>
      </c>
      <c r="AO101" s="195" t="s">
        <v>87</v>
      </c>
      <c r="AP101" s="160" t="s">
        <v>87</v>
      </c>
      <c r="AQ101" s="195" t="s">
        <v>87</v>
      </c>
      <c r="AR101" s="160" t="s">
        <v>87</v>
      </c>
      <c r="AS101" s="195" t="s">
        <v>87</v>
      </c>
      <c r="AT101" s="160" t="s">
        <v>87</v>
      </c>
      <c r="AU101" s="195" t="s">
        <v>87</v>
      </c>
      <c r="AV101" s="203" t="s">
        <v>87</v>
      </c>
      <c r="AW101" s="195" t="s">
        <v>87</v>
      </c>
      <c r="AX101" s="160" t="s">
        <v>87</v>
      </c>
      <c r="AY101" s="195" t="s">
        <v>87</v>
      </c>
      <c r="AZ101" s="160" t="s">
        <v>87</v>
      </c>
      <c r="BA101" s="195" t="s">
        <v>87</v>
      </c>
      <c r="BB101" s="160" t="s">
        <v>87</v>
      </c>
      <c r="BC101" s="195" t="s">
        <v>87</v>
      </c>
      <c r="BD101" s="160" t="s">
        <v>87</v>
      </c>
      <c r="BE101" s="195" t="s">
        <v>87</v>
      </c>
      <c r="BF101" s="160" t="s">
        <v>87</v>
      </c>
      <c r="BG101" s="187" t="s">
        <v>87</v>
      </c>
      <c r="BH101" s="160" t="s">
        <v>87</v>
      </c>
    </row>
    <row r="102" spans="10:60" ht="18.75" x14ac:dyDescent="0.25">
      <c r="J102" s="154"/>
      <c r="K102" s="295"/>
      <c r="L102" s="157"/>
      <c r="M102" s="83"/>
      <c r="N102" s="83"/>
      <c r="AF102" s="44" t="s">
        <v>86</v>
      </c>
      <c r="AG102" s="5" t="s">
        <v>32</v>
      </c>
      <c r="AH102" s="319" t="s">
        <v>15</v>
      </c>
      <c r="AI102" s="195" t="s">
        <v>87</v>
      </c>
      <c r="AJ102" s="203" t="s">
        <v>87</v>
      </c>
      <c r="AK102" s="195" t="s">
        <v>87</v>
      </c>
      <c r="AL102" s="160" t="s">
        <v>87</v>
      </c>
      <c r="AM102" s="195" t="s">
        <v>87</v>
      </c>
      <c r="AN102" s="203" t="s">
        <v>87</v>
      </c>
      <c r="AO102" s="195" t="s">
        <v>87</v>
      </c>
      <c r="AP102" s="160" t="s">
        <v>87</v>
      </c>
      <c r="AQ102" s="195" t="s">
        <v>87</v>
      </c>
      <c r="AR102" s="160" t="s">
        <v>87</v>
      </c>
      <c r="AS102" s="195" t="s">
        <v>87</v>
      </c>
      <c r="AT102" s="160" t="s">
        <v>87</v>
      </c>
      <c r="AU102" s="195" t="s">
        <v>87</v>
      </c>
      <c r="AV102" s="203" t="s">
        <v>87</v>
      </c>
      <c r="AW102" s="195" t="s">
        <v>87</v>
      </c>
      <c r="AX102" s="160" t="s">
        <v>87</v>
      </c>
      <c r="AY102" s="195" t="s">
        <v>87</v>
      </c>
      <c r="AZ102" s="160" t="s">
        <v>87</v>
      </c>
      <c r="BA102" s="195" t="s">
        <v>87</v>
      </c>
      <c r="BB102" s="160" t="s">
        <v>87</v>
      </c>
      <c r="BC102" s="195" t="s">
        <v>87</v>
      </c>
      <c r="BD102" s="160" t="s">
        <v>87</v>
      </c>
      <c r="BE102" s="195" t="s">
        <v>87</v>
      </c>
      <c r="BF102" s="160" t="s">
        <v>87</v>
      </c>
      <c r="BG102" s="187" t="s">
        <v>87</v>
      </c>
      <c r="BH102" s="160" t="s">
        <v>87</v>
      </c>
    </row>
    <row r="103" spans="10:60" ht="19.5" thickBot="1" x14ac:dyDescent="0.3">
      <c r="J103" s="154"/>
      <c r="K103" s="295"/>
      <c r="L103" s="157"/>
      <c r="M103" s="83"/>
      <c r="N103" s="83"/>
      <c r="AF103" s="44" t="s">
        <v>86</v>
      </c>
      <c r="AG103" s="5" t="s">
        <v>88</v>
      </c>
      <c r="AH103" s="319" t="s">
        <v>15</v>
      </c>
      <c r="AI103" s="195" t="s">
        <v>87</v>
      </c>
      <c r="AJ103" s="203" t="s">
        <v>87</v>
      </c>
      <c r="AK103" s="195" t="s">
        <v>87</v>
      </c>
      <c r="AL103" s="160" t="s">
        <v>87</v>
      </c>
      <c r="AM103" s="195" t="s">
        <v>87</v>
      </c>
      <c r="AN103" s="203" t="s">
        <v>87</v>
      </c>
      <c r="AO103" s="195" t="s">
        <v>87</v>
      </c>
      <c r="AP103" s="160" t="s">
        <v>87</v>
      </c>
      <c r="AQ103" s="195" t="s">
        <v>87</v>
      </c>
      <c r="AR103" s="160" t="s">
        <v>87</v>
      </c>
      <c r="AS103" s="195" t="s">
        <v>87</v>
      </c>
      <c r="AT103" s="160" t="s">
        <v>87</v>
      </c>
      <c r="AU103" s="195" t="s">
        <v>87</v>
      </c>
      <c r="AV103" s="203" t="s">
        <v>87</v>
      </c>
      <c r="AW103" s="195" t="s">
        <v>87</v>
      </c>
      <c r="AX103" s="160" t="s">
        <v>87</v>
      </c>
      <c r="AY103" s="195" t="s">
        <v>87</v>
      </c>
      <c r="AZ103" s="160" t="s">
        <v>87</v>
      </c>
      <c r="BA103" s="195" t="s">
        <v>87</v>
      </c>
      <c r="BB103" s="160" t="s">
        <v>87</v>
      </c>
      <c r="BC103" s="195" t="s">
        <v>87</v>
      </c>
      <c r="BD103" s="160" t="s">
        <v>87</v>
      </c>
      <c r="BE103" s="195" t="s">
        <v>87</v>
      </c>
      <c r="BF103" s="160" t="s">
        <v>87</v>
      </c>
      <c r="BG103" s="187" t="s">
        <v>87</v>
      </c>
      <c r="BH103" s="160" t="s">
        <v>87</v>
      </c>
    </row>
    <row r="104" spans="10:60" ht="19.5" thickTop="1" x14ac:dyDescent="0.25">
      <c r="J104" s="154"/>
      <c r="K104" s="295"/>
      <c r="L104" s="157"/>
      <c r="M104" s="83"/>
      <c r="N104" s="83"/>
      <c r="AF104" s="43" t="s">
        <v>71</v>
      </c>
      <c r="AG104" s="35" t="s">
        <v>89</v>
      </c>
      <c r="AH104" s="185" t="s">
        <v>18</v>
      </c>
      <c r="AI104" s="192">
        <v>7</v>
      </c>
      <c r="AJ104" s="200">
        <v>10</v>
      </c>
      <c r="AK104" s="211">
        <f>$AI104*$AT$5</f>
        <v>7.7000000000000011</v>
      </c>
      <c r="AL104" s="212">
        <f t="shared" ref="AL104:AR115" si="83">$AJ104*$AT$5</f>
        <v>11</v>
      </c>
      <c r="AM104" s="211">
        <f>$AI104*$AT$5</f>
        <v>7.7000000000000011</v>
      </c>
      <c r="AN104" s="208">
        <f t="shared" si="83"/>
        <v>11</v>
      </c>
      <c r="AO104" s="211">
        <f>$AI104*$AT$5</f>
        <v>7.7000000000000011</v>
      </c>
      <c r="AP104" s="212">
        <f t="shared" si="83"/>
        <v>11</v>
      </c>
      <c r="AQ104" s="211">
        <f>$AI104*$AT$5</f>
        <v>7.7000000000000011</v>
      </c>
      <c r="AR104" s="212">
        <f t="shared" si="83"/>
        <v>11</v>
      </c>
      <c r="AS104" s="227">
        <f>$AI104*$AV$5</f>
        <v>8.4</v>
      </c>
      <c r="AT104" s="228">
        <f t="shared" ref="AT104:AZ115" si="84">$AJ104*$AV$5</f>
        <v>12</v>
      </c>
      <c r="AU104" s="227">
        <f>$AI104*$AV$5</f>
        <v>8.4</v>
      </c>
      <c r="AV104" s="221">
        <f t="shared" si="84"/>
        <v>12</v>
      </c>
      <c r="AW104" s="227">
        <f>$AI104*$AV$5</f>
        <v>8.4</v>
      </c>
      <c r="AX104" s="228">
        <f t="shared" si="84"/>
        <v>12</v>
      </c>
      <c r="AY104" s="227">
        <f>$AI104*$AV$5</f>
        <v>8.4</v>
      </c>
      <c r="AZ104" s="228">
        <f t="shared" si="84"/>
        <v>12</v>
      </c>
      <c r="BA104" s="238">
        <f>$AI104*$AX$5</f>
        <v>9.1</v>
      </c>
      <c r="BB104" s="239">
        <f>$AJ104*$AX$5</f>
        <v>13</v>
      </c>
      <c r="BC104" s="238">
        <f>$AI104*$AX$5</f>
        <v>9.1</v>
      </c>
      <c r="BD104" s="239">
        <f>$AJ104*$AX$5</f>
        <v>13</v>
      </c>
      <c r="BE104" s="240">
        <f>$AI104*$AZ$5</f>
        <v>9.7999999999999989</v>
      </c>
      <c r="BF104" s="241">
        <f>$AJ104*$AZ$5</f>
        <v>14</v>
      </c>
      <c r="BG104" s="237">
        <f>$AI104*$BB$5</f>
        <v>10.5</v>
      </c>
      <c r="BH104" s="167">
        <f>$AJ104*$BB$5</f>
        <v>15</v>
      </c>
    </row>
    <row r="105" spans="10:60" ht="18.75" x14ac:dyDescent="0.25">
      <c r="J105" s="154"/>
      <c r="K105" s="295"/>
      <c r="L105" s="157"/>
      <c r="M105" s="83"/>
      <c r="N105" s="83"/>
      <c r="AF105" s="44" t="s">
        <v>71</v>
      </c>
      <c r="AG105" s="5" t="s">
        <v>31</v>
      </c>
      <c r="AH105" s="319" t="s">
        <v>18</v>
      </c>
      <c r="AI105" s="193">
        <v>10</v>
      </c>
      <c r="AJ105" s="201">
        <v>12</v>
      </c>
      <c r="AK105" s="213">
        <f t="shared" ref="AK105:AQ120" si="85">$AI105*$AT$5</f>
        <v>11</v>
      </c>
      <c r="AL105" s="214">
        <f t="shared" si="83"/>
        <v>13.200000000000001</v>
      </c>
      <c r="AM105" s="213">
        <f t="shared" si="85"/>
        <v>11</v>
      </c>
      <c r="AN105" s="209">
        <f t="shared" si="83"/>
        <v>13.200000000000001</v>
      </c>
      <c r="AO105" s="213">
        <f t="shared" si="85"/>
        <v>11</v>
      </c>
      <c r="AP105" s="214">
        <f t="shared" si="83"/>
        <v>13.200000000000001</v>
      </c>
      <c r="AQ105" s="213">
        <f t="shared" si="85"/>
        <v>11</v>
      </c>
      <c r="AR105" s="214">
        <f t="shared" si="83"/>
        <v>13.200000000000001</v>
      </c>
      <c r="AS105" s="215">
        <f t="shared" ref="AS105:AY115" si="86">$AI105*$AV$5</f>
        <v>12</v>
      </c>
      <c r="AT105" s="216">
        <f t="shared" si="84"/>
        <v>14.399999999999999</v>
      </c>
      <c r="AU105" s="215">
        <f t="shared" si="86"/>
        <v>12</v>
      </c>
      <c r="AV105" s="210">
        <f t="shared" si="84"/>
        <v>14.399999999999999</v>
      </c>
      <c r="AW105" s="215">
        <f t="shared" si="86"/>
        <v>12</v>
      </c>
      <c r="AX105" s="216">
        <f t="shared" si="84"/>
        <v>14.399999999999999</v>
      </c>
      <c r="AY105" s="215">
        <f t="shared" si="86"/>
        <v>12</v>
      </c>
      <c r="AZ105" s="216">
        <f t="shared" si="84"/>
        <v>14.399999999999999</v>
      </c>
      <c r="BA105" s="217">
        <f t="shared" ref="AU105:BC115" si="87">$AI105*$AX$5</f>
        <v>13</v>
      </c>
      <c r="BB105" s="218">
        <f t="shared" ref="AX105:BD115" si="88">$AJ105*$AX$5</f>
        <v>15.600000000000001</v>
      </c>
      <c r="BC105" s="217">
        <f t="shared" si="87"/>
        <v>13</v>
      </c>
      <c r="BD105" s="218">
        <f t="shared" si="88"/>
        <v>15.600000000000001</v>
      </c>
      <c r="BE105" s="225">
        <f t="shared" ref="AY105:BE115" si="89">$AI105*$AZ$5</f>
        <v>14</v>
      </c>
      <c r="BF105" s="226">
        <f t="shared" ref="AZ105:BF115" si="90">$AJ105*$AZ$5</f>
        <v>16.799999999999997</v>
      </c>
      <c r="BG105" s="222">
        <f t="shared" ref="BC105:BG115" si="91">$AI105*$BB$5</f>
        <v>15</v>
      </c>
      <c r="BH105" s="168">
        <f t="shared" ref="BD105:BH115" si="92">$AJ105*$BB$5</f>
        <v>18</v>
      </c>
    </row>
    <row r="106" spans="10:60" ht="15.75" thickBot="1" x14ac:dyDescent="0.3">
      <c r="J106" s="155"/>
      <c r="K106" s="156"/>
      <c r="L106" s="158"/>
      <c r="M106" s="83"/>
      <c r="N106" s="83"/>
      <c r="AF106" s="44" t="s">
        <v>71</v>
      </c>
      <c r="AG106" s="5" t="s">
        <v>32</v>
      </c>
      <c r="AH106" s="319" t="s">
        <v>18</v>
      </c>
      <c r="AI106" s="193">
        <v>12</v>
      </c>
      <c r="AJ106" s="201">
        <v>14</v>
      </c>
      <c r="AK106" s="213">
        <f t="shared" si="85"/>
        <v>13.200000000000001</v>
      </c>
      <c r="AL106" s="214">
        <f t="shared" si="83"/>
        <v>15.400000000000002</v>
      </c>
      <c r="AM106" s="213">
        <f t="shared" si="85"/>
        <v>13.200000000000001</v>
      </c>
      <c r="AN106" s="209">
        <f t="shared" si="83"/>
        <v>15.400000000000002</v>
      </c>
      <c r="AO106" s="213">
        <f t="shared" si="85"/>
        <v>13.200000000000001</v>
      </c>
      <c r="AP106" s="214">
        <f t="shared" si="83"/>
        <v>15.400000000000002</v>
      </c>
      <c r="AQ106" s="213">
        <f t="shared" si="85"/>
        <v>13.200000000000001</v>
      </c>
      <c r="AR106" s="214">
        <f t="shared" si="83"/>
        <v>15.400000000000002</v>
      </c>
      <c r="AS106" s="215">
        <f t="shared" si="86"/>
        <v>14.399999999999999</v>
      </c>
      <c r="AT106" s="216">
        <f t="shared" si="84"/>
        <v>16.8</v>
      </c>
      <c r="AU106" s="215">
        <f t="shared" si="86"/>
        <v>14.399999999999999</v>
      </c>
      <c r="AV106" s="210">
        <f t="shared" si="84"/>
        <v>16.8</v>
      </c>
      <c r="AW106" s="215">
        <f t="shared" si="86"/>
        <v>14.399999999999999</v>
      </c>
      <c r="AX106" s="216">
        <f t="shared" si="84"/>
        <v>16.8</v>
      </c>
      <c r="AY106" s="215">
        <f t="shared" si="86"/>
        <v>14.399999999999999</v>
      </c>
      <c r="AZ106" s="216">
        <f t="shared" si="84"/>
        <v>16.8</v>
      </c>
      <c r="BA106" s="217">
        <f t="shared" si="87"/>
        <v>15.600000000000001</v>
      </c>
      <c r="BB106" s="218">
        <f t="shared" si="88"/>
        <v>18.2</v>
      </c>
      <c r="BC106" s="217">
        <f t="shared" si="87"/>
        <v>15.600000000000001</v>
      </c>
      <c r="BD106" s="218">
        <f t="shared" si="88"/>
        <v>18.2</v>
      </c>
      <c r="BE106" s="225">
        <f t="shared" si="89"/>
        <v>16.799999999999997</v>
      </c>
      <c r="BF106" s="226">
        <f t="shared" si="90"/>
        <v>19.599999999999998</v>
      </c>
      <c r="BG106" s="222">
        <f t="shared" si="91"/>
        <v>18</v>
      </c>
      <c r="BH106" s="168">
        <f t="shared" si="92"/>
        <v>21</v>
      </c>
    </row>
    <row r="107" spans="10:60" ht="15.75" thickTop="1" x14ac:dyDescent="0.25">
      <c r="K107" s="83"/>
      <c r="L107" s="83"/>
      <c r="M107" s="83"/>
      <c r="N107" s="83"/>
      <c r="AF107" s="44" t="s">
        <v>71</v>
      </c>
      <c r="AG107" s="5" t="s">
        <v>88</v>
      </c>
      <c r="AH107" s="319" t="s">
        <v>18</v>
      </c>
      <c r="AI107" s="193">
        <v>14</v>
      </c>
      <c r="AJ107" s="201">
        <v>16</v>
      </c>
      <c r="AK107" s="213">
        <f t="shared" si="85"/>
        <v>15.400000000000002</v>
      </c>
      <c r="AL107" s="214">
        <f t="shared" si="83"/>
        <v>17.600000000000001</v>
      </c>
      <c r="AM107" s="213">
        <f t="shared" si="85"/>
        <v>15.400000000000002</v>
      </c>
      <c r="AN107" s="209">
        <f t="shared" si="83"/>
        <v>17.600000000000001</v>
      </c>
      <c r="AO107" s="223">
        <f t="shared" si="85"/>
        <v>15.400000000000002</v>
      </c>
      <c r="AP107" s="224">
        <f t="shared" si="83"/>
        <v>17.600000000000001</v>
      </c>
      <c r="AQ107" s="213">
        <f t="shared" si="85"/>
        <v>15.400000000000002</v>
      </c>
      <c r="AR107" s="214">
        <f t="shared" si="83"/>
        <v>17.600000000000001</v>
      </c>
      <c r="AS107" s="215">
        <f t="shared" si="86"/>
        <v>16.8</v>
      </c>
      <c r="AT107" s="216">
        <f t="shared" si="84"/>
        <v>19.2</v>
      </c>
      <c r="AU107" s="215">
        <f t="shared" si="86"/>
        <v>16.8</v>
      </c>
      <c r="AV107" s="210">
        <f t="shared" si="84"/>
        <v>19.2</v>
      </c>
      <c r="AW107" s="215">
        <f t="shared" si="86"/>
        <v>16.8</v>
      </c>
      <c r="AX107" s="216">
        <f t="shared" si="84"/>
        <v>19.2</v>
      </c>
      <c r="AY107" s="215">
        <f t="shared" si="86"/>
        <v>16.8</v>
      </c>
      <c r="AZ107" s="216">
        <f t="shared" si="84"/>
        <v>19.2</v>
      </c>
      <c r="BA107" s="217">
        <f t="shared" si="87"/>
        <v>18.2</v>
      </c>
      <c r="BB107" s="218">
        <f t="shared" si="88"/>
        <v>20.8</v>
      </c>
      <c r="BC107" s="217">
        <f t="shared" si="87"/>
        <v>18.2</v>
      </c>
      <c r="BD107" s="218">
        <f t="shared" si="88"/>
        <v>20.8</v>
      </c>
      <c r="BE107" s="225">
        <f t="shared" si="89"/>
        <v>19.599999999999998</v>
      </c>
      <c r="BF107" s="226">
        <f t="shared" si="90"/>
        <v>22.4</v>
      </c>
      <c r="BG107" s="222">
        <f t="shared" si="91"/>
        <v>21</v>
      </c>
      <c r="BH107" s="168">
        <f t="shared" si="92"/>
        <v>24</v>
      </c>
    </row>
    <row r="108" spans="10:60" x14ac:dyDescent="0.25">
      <c r="K108" s="83"/>
      <c r="L108" s="83"/>
      <c r="M108" s="83"/>
      <c r="N108" s="83"/>
      <c r="AF108" s="44" t="s">
        <v>94</v>
      </c>
      <c r="AG108" s="5" t="s">
        <v>89</v>
      </c>
      <c r="AH108" s="319" t="s">
        <v>18</v>
      </c>
      <c r="AI108" s="193">
        <v>8</v>
      </c>
      <c r="AJ108" s="201">
        <v>10</v>
      </c>
      <c r="AK108" s="213">
        <f t="shared" si="85"/>
        <v>8.8000000000000007</v>
      </c>
      <c r="AL108" s="214">
        <f t="shared" si="83"/>
        <v>11</v>
      </c>
      <c r="AM108" s="213">
        <f t="shared" si="85"/>
        <v>8.8000000000000007</v>
      </c>
      <c r="AN108" s="209">
        <f t="shared" si="83"/>
        <v>11</v>
      </c>
      <c r="AO108" s="215">
        <f>$AI108*$AV$5</f>
        <v>9.6</v>
      </c>
      <c r="AP108" s="216">
        <f t="shared" ref="AL108:AR123" si="93">$AJ108*$AV$5</f>
        <v>12</v>
      </c>
      <c r="AQ108" s="215">
        <f>$AI108*$AV$5</f>
        <v>9.6</v>
      </c>
      <c r="AR108" s="216">
        <f t="shared" si="93"/>
        <v>12</v>
      </c>
      <c r="AS108" s="215">
        <f t="shared" si="86"/>
        <v>9.6</v>
      </c>
      <c r="AT108" s="216">
        <f t="shared" si="84"/>
        <v>12</v>
      </c>
      <c r="AU108" s="215">
        <f t="shared" si="86"/>
        <v>9.6</v>
      </c>
      <c r="AV108" s="210">
        <f t="shared" si="84"/>
        <v>12</v>
      </c>
      <c r="AW108" s="215">
        <f t="shared" si="86"/>
        <v>9.6</v>
      </c>
      <c r="AX108" s="216">
        <f t="shared" si="84"/>
        <v>12</v>
      </c>
      <c r="AY108" s="217">
        <f t="shared" si="87"/>
        <v>10.4</v>
      </c>
      <c r="AZ108" s="218">
        <f t="shared" si="88"/>
        <v>13</v>
      </c>
      <c r="BA108" s="217">
        <f t="shared" si="87"/>
        <v>10.4</v>
      </c>
      <c r="BB108" s="218">
        <f t="shared" si="88"/>
        <v>13</v>
      </c>
      <c r="BC108" s="225">
        <f t="shared" si="89"/>
        <v>11.2</v>
      </c>
      <c r="BD108" s="226">
        <f t="shared" si="90"/>
        <v>14</v>
      </c>
      <c r="BE108" s="229">
        <f t="shared" si="91"/>
        <v>12</v>
      </c>
      <c r="BF108" s="230">
        <f t="shared" si="92"/>
        <v>15</v>
      </c>
      <c r="BG108" s="176" t="s">
        <v>153</v>
      </c>
      <c r="BH108" s="164" t="s">
        <v>153</v>
      </c>
    </row>
    <row r="109" spans="10:60" x14ac:dyDescent="0.25">
      <c r="K109" s="83"/>
      <c r="L109" s="83"/>
      <c r="M109" s="83"/>
      <c r="N109" s="83"/>
      <c r="AF109" s="44" t="s">
        <v>94</v>
      </c>
      <c r="AG109" s="5" t="s">
        <v>31</v>
      </c>
      <c r="AH109" s="319" t="s">
        <v>18</v>
      </c>
      <c r="AI109" s="193">
        <v>10</v>
      </c>
      <c r="AJ109" s="201">
        <v>12</v>
      </c>
      <c r="AK109" s="213">
        <f t="shared" si="85"/>
        <v>11</v>
      </c>
      <c r="AL109" s="214">
        <f t="shared" si="83"/>
        <v>13.200000000000001</v>
      </c>
      <c r="AM109" s="213">
        <f t="shared" si="85"/>
        <v>11</v>
      </c>
      <c r="AN109" s="209">
        <f t="shared" si="83"/>
        <v>13.200000000000001</v>
      </c>
      <c r="AO109" s="215">
        <f t="shared" ref="AO109:AO115" si="94">$AI109*$AV$5</f>
        <v>12</v>
      </c>
      <c r="AP109" s="216">
        <f t="shared" si="93"/>
        <v>14.399999999999999</v>
      </c>
      <c r="AQ109" s="215">
        <f t="shared" ref="AQ109:AQ115" si="95">$AI109*$AV$5</f>
        <v>12</v>
      </c>
      <c r="AR109" s="216">
        <f t="shared" si="93"/>
        <v>14.399999999999999</v>
      </c>
      <c r="AS109" s="215">
        <f t="shared" si="86"/>
        <v>12</v>
      </c>
      <c r="AT109" s="216">
        <f t="shared" si="84"/>
        <v>14.399999999999999</v>
      </c>
      <c r="AU109" s="215">
        <f t="shared" si="86"/>
        <v>12</v>
      </c>
      <c r="AV109" s="210">
        <f t="shared" si="84"/>
        <v>14.399999999999999</v>
      </c>
      <c r="AW109" s="215">
        <f t="shared" si="86"/>
        <v>12</v>
      </c>
      <c r="AX109" s="216">
        <f t="shared" si="84"/>
        <v>14.399999999999999</v>
      </c>
      <c r="AY109" s="217">
        <f t="shared" si="87"/>
        <v>13</v>
      </c>
      <c r="AZ109" s="218">
        <f t="shared" si="88"/>
        <v>15.600000000000001</v>
      </c>
      <c r="BA109" s="217">
        <f t="shared" si="87"/>
        <v>13</v>
      </c>
      <c r="BB109" s="218">
        <f t="shared" si="88"/>
        <v>15.600000000000001</v>
      </c>
      <c r="BC109" s="225">
        <f t="shared" si="89"/>
        <v>14</v>
      </c>
      <c r="BD109" s="226">
        <f t="shared" si="90"/>
        <v>16.799999999999997</v>
      </c>
      <c r="BE109" s="229">
        <f t="shared" si="91"/>
        <v>15</v>
      </c>
      <c r="BF109" s="230">
        <f t="shared" si="92"/>
        <v>18</v>
      </c>
      <c r="BG109" s="176" t="s">
        <v>153</v>
      </c>
      <c r="BH109" s="164" t="s">
        <v>153</v>
      </c>
    </row>
    <row r="110" spans="10:60" x14ac:dyDescent="0.25">
      <c r="K110" s="83"/>
      <c r="L110" s="83"/>
      <c r="M110" s="83"/>
      <c r="N110" s="83"/>
      <c r="AF110" s="44" t="s">
        <v>94</v>
      </c>
      <c r="AG110" s="5" t="s">
        <v>32</v>
      </c>
      <c r="AH110" s="319" t="s">
        <v>18</v>
      </c>
      <c r="AI110" s="193">
        <v>12</v>
      </c>
      <c r="AJ110" s="201">
        <v>14</v>
      </c>
      <c r="AK110" s="213">
        <f t="shared" si="85"/>
        <v>13.200000000000001</v>
      </c>
      <c r="AL110" s="214">
        <f t="shared" si="83"/>
        <v>15.400000000000002</v>
      </c>
      <c r="AM110" s="213">
        <f t="shared" si="85"/>
        <v>13.200000000000001</v>
      </c>
      <c r="AN110" s="209">
        <f t="shared" si="83"/>
        <v>15.400000000000002</v>
      </c>
      <c r="AO110" s="215">
        <f t="shared" si="94"/>
        <v>14.399999999999999</v>
      </c>
      <c r="AP110" s="216">
        <f t="shared" si="93"/>
        <v>16.8</v>
      </c>
      <c r="AQ110" s="215">
        <f t="shared" si="95"/>
        <v>14.399999999999999</v>
      </c>
      <c r="AR110" s="216">
        <f t="shared" si="93"/>
        <v>16.8</v>
      </c>
      <c r="AS110" s="215">
        <f t="shared" si="86"/>
        <v>14.399999999999999</v>
      </c>
      <c r="AT110" s="216">
        <f t="shared" si="84"/>
        <v>16.8</v>
      </c>
      <c r="AU110" s="215">
        <f t="shared" si="86"/>
        <v>14.399999999999999</v>
      </c>
      <c r="AV110" s="210">
        <f t="shared" si="84"/>
        <v>16.8</v>
      </c>
      <c r="AW110" s="215">
        <f t="shared" si="86"/>
        <v>14.399999999999999</v>
      </c>
      <c r="AX110" s="216">
        <f t="shared" si="84"/>
        <v>16.8</v>
      </c>
      <c r="AY110" s="217">
        <f t="shared" si="87"/>
        <v>15.600000000000001</v>
      </c>
      <c r="AZ110" s="218">
        <f t="shared" si="88"/>
        <v>18.2</v>
      </c>
      <c r="BA110" s="217">
        <f t="shared" si="87"/>
        <v>15.600000000000001</v>
      </c>
      <c r="BB110" s="218">
        <f t="shared" si="88"/>
        <v>18.2</v>
      </c>
      <c r="BC110" s="225">
        <f t="shared" si="89"/>
        <v>16.799999999999997</v>
      </c>
      <c r="BD110" s="226">
        <f t="shared" si="90"/>
        <v>19.599999999999998</v>
      </c>
      <c r="BE110" s="229">
        <f t="shared" si="91"/>
        <v>18</v>
      </c>
      <c r="BF110" s="230">
        <f t="shared" si="92"/>
        <v>21</v>
      </c>
      <c r="BG110" s="176" t="s">
        <v>153</v>
      </c>
      <c r="BH110" s="164" t="s">
        <v>153</v>
      </c>
    </row>
    <row r="111" spans="10:60" x14ac:dyDescent="0.25">
      <c r="K111" s="83"/>
      <c r="L111" s="83"/>
      <c r="M111" s="83"/>
      <c r="N111" s="83"/>
      <c r="AF111" s="44" t="s">
        <v>94</v>
      </c>
      <c r="AG111" s="5" t="s">
        <v>88</v>
      </c>
      <c r="AH111" s="319" t="s">
        <v>18</v>
      </c>
      <c r="AI111" s="193">
        <v>14</v>
      </c>
      <c r="AJ111" s="201">
        <v>16</v>
      </c>
      <c r="AK111" s="213">
        <f t="shared" si="85"/>
        <v>15.400000000000002</v>
      </c>
      <c r="AL111" s="214">
        <f t="shared" si="83"/>
        <v>17.600000000000001</v>
      </c>
      <c r="AM111" s="213">
        <f t="shared" si="85"/>
        <v>15.400000000000002</v>
      </c>
      <c r="AN111" s="209">
        <f t="shared" si="83"/>
        <v>17.600000000000001</v>
      </c>
      <c r="AO111" s="215">
        <f t="shared" si="94"/>
        <v>16.8</v>
      </c>
      <c r="AP111" s="216">
        <f t="shared" si="93"/>
        <v>19.2</v>
      </c>
      <c r="AQ111" s="215">
        <f t="shared" si="95"/>
        <v>16.8</v>
      </c>
      <c r="AR111" s="216">
        <f t="shared" si="93"/>
        <v>19.2</v>
      </c>
      <c r="AS111" s="215">
        <f t="shared" si="86"/>
        <v>16.8</v>
      </c>
      <c r="AT111" s="216">
        <f t="shared" si="84"/>
        <v>19.2</v>
      </c>
      <c r="AU111" s="215">
        <f t="shared" si="86"/>
        <v>16.8</v>
      </c>
      <c r="AV111" s="210">
        <f t="shared" si="84"/>
        <v>19.2</v>
      </c>
      <c r="AW111" s="215">
        <f t="shared" si="86"/>
        <v>16.8</v>
      </c>
      <c r="AX111" s="216">
        <f t="shared" si="84"/>
        <v>19.2</v>
      </c>
      <c r="AY111" s="217">
        <f t="shared" si="87"/>
        <v>18.2</v>
      </c>
      <c r="AZ111" s="218">
        <f t="shared" si="88"/>
        <v>20.8</v>
      </c>
      <c r="BA111" s="217">
        <f t="shared" si="87"/>
        <v>18.2</v>
      </c>
      <c r="BB111" s="218">
        <f t="shared" si="88"/>
        <v>20.8</v>
      </c>
      <c r="BC111" s="225">
        <f t="shared" si="89"/>
        <v>19.599999999999998</v>
      </c>
      <c r="BD111" s="226">
        <f t="shared" si="90"/>
        <v>22.4</v>
      </c>
      <c r="BE111" s="229">
        <f t="shared" si="91"/>
        <v>21</v>
      </c>
      <c r="BF111" s="230">
        <f t="shared" si="92"/>
        <v>24</v>
      </c>
      <c r="BG111" s="176" t="s">
        <v>153</v>
      </c>
      <c r="BH111" s="164" t="s">
        <v>153</v>
      </c>
    </row>
    <row r="112" spans="10:60" x14ac:dyDescent="0.25">
      <c r="K112" s="83"/>
      <c r="L112" s="83"/>
      <c r="M112" s="83"/>
      <c r="N112" s="83"/>
      <c r="AF112" s="44" t="s">
        <v>95</v>
      </c>
      <c r="AG112" s="5" t="s">
        <v>89</v>
      </c>
      <c r="AH112" s="319" t="s">
        <v>18</v>
      </c>
      <c r="AI112" s="193">
        <v>8</v>
      </c>
      <c r="AJ112" s="201">
        <v>10</v>
      </c>
      <c r="AK112" s="213">
        <f t="shared" si="85"/>
        <v>8.8000000000000007</v>
      </c>
      <c r="AL112" s="214">
        <f t="shared" si="83"/>
        <v>11</v>
      </c>
      <c r="AM112" s="215">
        <f>$AI112*$AV$5</f>
        <v>9.6</v>
      </c>
      <c r="AN112" s="210">
        <f t="shared" si="93"/>
        <v>12</v>
      </c>
      <c r="AO112" s="215">
        <f t="shared" si="94"/>
        <v>9.6</v>
      </c>
      <c r="AP112" s="216">
        <f t="shared" si="93"/>
        <v>12</v>
      </c>
      <c r="AQ112" s="215">
        <f t="shared" si="95"/>
        <v>9.6</v>
      </c>
      <c r="AR112" s="216">
        <f t="shared" si="93"/>
        <v>12</v>
      </c>
      <c r="AS112" s="215">
        <f t="shared" si="86"/>
        <v>9.6</v>
      </c>
      <c r="AT112" s="216">
        <f t="shared" si="84"/>
        <v>12</v>
      </c>
      <c r="AU112" s="217">
        <f t="shared" si="87"/>
        <v>10.4</v>
      </c>
      <c r="AV112" s="219">
        <f t="shared" ref="AR112:AV127" si="96">$AJ112*$AX$5</f>
        <v>13</v>
      </c>
      <c r="AW112" s="217">
        <f t="shared" si="87"/>
        <v>10.4</v>
      </c>
      <c r="AX112" s="218">
        <f t="shared" si="88"/>
        <v>13</v>
      </c>
      <c r="AY112" s="225">
        <f t="shared" si="89"/>
        <v>11.2</v>
      </c>
      <c r="AZ112" s="226">
        <f t="shared" si="90"/>
        <v>14</v>
      </c>
      <c r="BA112" s="225">
        <f t="shared" si="89"/>
        <v>11.2</v>
      </c>
      <c r="BB112" s="226">
        <f t="shared" si="90"/>
        <v>14</v>
      </c>
      <c r="BC112" s="229">
        <f t="shared" si="91"/>
        <v>12</v>
      </c>
      <c r="BD112" s="230">
        <f t="shared" si="92"/>
        <v>15</v>
      </c>
      <c r="BE112" s="231" t="s">
        <v>153</v>
      </c>
      <c r="BF112" s="232" t="s">
        <v>153</v>
      </c>
      <c r="BG112" s="176" t="s">
        <v>153</v>
      </c>
      <c r="BH112" s="164" t="s">
        <v>153</v>
      </c>
    </row>
    <row r="113" spans="11:60" x14ac:dyDescent="0.25">
      <c r="K113" s="83"/>
      <c r="L113" s="83"/>
      <c r="M113" s="83"/>
      <c r="N113" s="83"/>
      <c r="AF113" s="44" t="s">
        <v>95</v>
      </c>
      <c r="AG113" s="5" t="s">
        <v>31</v>
      </c>
      <c r="AH113" s="319" t="s">
        <v>18</v>
      </c>
      <c r="AI113" s="193">
        <v>10</v>
      </c>
      <c r="AJ113" s="201">
        <v>12</v>
      </c>
      <c r="AK113" s="213">
        <f t="shared" si="85"/>
        <v>11</v>
      </c>
      <c r="AL113" s="214">
        <f t="shared" si="83"/>
        <v>13.200000000000001</v>
      </c>
      <c r="AM113" s="215">
        <f t="shared" ref="AM113:AM127" si="97">$AI113*$AV$5</f>
        <v>12</v>
      </c>
      <c r="AN113" s="210">
        <f t="shared" si="93"/>
        <v>14.399999999999999</v>
      </c>
      <c r="AO113" s="215">
        <f t="shared" si="94"/>
        <v>12</v>
      </c>
      <c r="AP113" s="216">
        <f t="shared" si="93"/>
        <v>14.399999999999999</v>
      </c>
      <c r="AQ113" s="215">
        <f t="shared" si="95"/>
        <v>12</v>
      </c>
      <c r="AR113" s="216">
        <f t="shared" si="93"/>
        <v>14.399999999999999</v>
      </c>
      <c r="AS113" s="215">
        <f t="shared" si="86"/>
        <v>12</v>
      </c>
      <c r="AT113" s="216">
        <f t="shared" si="84"/>
        <v>14.399999999999999</v>
      </c>
      <c r="AU113" s="217">
        <f t="shared" si="87"/>
        <v>13</v>
      </c>
      <c r="AV113" s="219">
        <f t="shared" si="96"/>
        <v>15.600000000000001</v>
      </c>
      <c r="AW113" s="217">
        <f t="shared" si="87"/>
        <v>13</v>
      </c>
      <c r="AX113" s="218">
        <f t="shared" si="88"/>
        <v>15.600000000000001</v>
      </c>
      <c r="AY113" s="225">
        <f t="shared" si="89"/>
        <v>14</v>
      </c>
      <c r="AZ113" s="226">
        <f t="shared" si="90"/>
        <v>16.799999999999997</v>
      </c>
      <c r="BA113" s="225">
        <f t="shared" si="89"/>
        <v>14</v>
      </c>
      <c r="BB113" s="226">
        <f t="shared" si="90"/>
        <v>16.799999999999997</v>
      </c>
      <c r="BC113" s="229">
        <f t="shared" si="91"/>
        <v>15</v>
      </c>
      <c r="BD113" s="230">
        <f t="shared" si="92"/>
        <v>18</v>
      </c>
      <c r="BE113" s="231" t="s">
        <v>153</v>
      </c>
      <c r="BF113" s="232" t="s">
        <v>153</v>
      </c>
      <c r="BG113" s="176" t="s">
        <v>153</v>
      </c>
      <c r="BH113" s="164" t="s">
        <v>153</v>
      </c>
    </row>
    <row r="114" spans="11:60" x14ac:dyDescent="0.25">
      <c r="K114" s="83"/>
      <c r="L114" s="83"/>
      <c r="M114" s="83"/>
      <c r="N114" s="83"/>
      <c r="AF114" s="44" t="s">
        <v>95</v>
      </c>
      <c r="AG114" s="5" t="s">
        <v>32</v>
      </c>
      <c r="AH114" s="319" t="s">
        <v>18</v>
      </c>
      <c r="AI114" s="193">
        <v>12</v>
      </c>
      <c r="AJ114" s="201">
        <v>14</v>
      </c>
      <c r="AK114" s="213">
        <f t="shared" si="85"/>
        <v>13.200000000000001</v>
      </c>
      <c r="AL114" s="214">
        <f t="shared" si="83"/>
        <v>15.400000000000002</v>
      </c>
      <c r="AM114" s="215">
        <f t="shared" si="97"/>
        <v>14.399999999999999</v>
      </c>
      <c r="AN114" s="210">
        <f t="shared" si="93"/>
        <v>16.8</v>
      </c>
      <c r="AO114" s="215">
        <f t="shared" si="94"/>
        <v>14.399999999999999</v>
      </c>
      <c r="AP114" s="216">
        <f t="shared" si="93"/>
        <v>16.8</v>
      </c>
      <c r="AQ114" s="215">
        <f t="shared" si="95"/>
        <v>14.399999999999999</v>
      </c>
      <c r="AR114" s="216">
        <f t="shared" si="93"/>
        <v>16.8</v>
      </c>
      <c r="AS114" s="215">
        <f t="shared" si="86"/>
        <v>14.399999999999999</v>
      </c>
      <c r="AT114" s="216">
        <f t="shared" si="84"/>
        <v>16.8</v>
      </c>
      <c r="AU114" s="217">
        <f t="shared" si="87"/>
        <v>15.600000000000001</v>
      </c>
      <c r="AV114" s="219">
        <f t="shared" si="96"/>
        <v>18.2</v>
      </c>
      <c r="AW114" s="217">
        <f t="shared" si="87"/>
        <v>15.600000000000001</v>
      </c>
      <c r="AX114" s="218">
        <f t="shared" si="88"/>
        <v>18.2</v>
      </c>
      <c r="AY114" s="225">
        <f t="shared" si="89"/>
        <v>16.799999999999997</v>
      </c>
      <c r="AZ114" s="226">
        <f t="shared" si="90"/>
        <v>19.599999999999998</v>
      </c>
      <c r="BA114" s="225">
        <f t="shared" si="89"/>
        <v>16.799999999999997</v>
      </c>
      <c r="BB114" s="226">
        <f t="shared" si="90"/>
        <v>19.599999999999998</v>
      </c>
      <c r="BC114" s="229">
        <f t="shared" si="91"/>
        <v>18</v>
      </c>
      <c r="BD114" s="230">
        <f t="shared" si="92"/>
        <v>21</v>
      </c>
      <c r="BE114" s="231" t="s">
        <v>153</v>
      </c>
      <c r="BF114" s="232" t="s">
        <v>153</v>
      </c>
      <c r="BG114" s="176" t="s">
        <v>153</v>
      </c>
      <c r="BH114" s="164" t="s">
        <v>153</v>
      </c>
    </row>
    <row r="115" spans="11:60" x14ac:dyDescent="0.25">
      <c r="K115" s="83"/>
      <c r="L115" s="83"/>
      <c r="M115" s="83"/>
      <c r="N115" s="83"/>
      <c r="AF115" s="44" t="s">
        <v>95</v>
      </c>
      <c r="AG115" s="5" t="s">
        <v>88</v>
      </c>
      <c r="AH115" s="319" t="s">
        <v>18</v>
      </c>
      <c r="AI115" s="193">
        <v>14</v>
      </c>
      <c r="AJ115" s="201">
        <v>16</v>
      </c>
      <c r="AK115" s="213">
        <f t="shared" si="85"/>
        <v>15.400000000000002</v>
      </c>
      <c r="AL115" s="214">
        <f t="shared" si="83"/>
        <v>17.600000000000001</v>
      </c>
      <c r="AM115" s="215">
        <f t="shared" si="97"/>
        <v>16.8</v>
      </c>
      <c r="AN115" s="210">
        <f t="shared" si="93"/>
        <v>19.2</v>
      </c>
      <c r="AO115" s="215">
        <f t="shared" si="94"/>
        <v>16.8</v>
      </c>
      <c r="AP115" s="216">
        <f t="shared" si="93"/>
        <v>19.2</v>
      </c>
      <c r="AQ115" s="215">
        <f t="shared" si="95"/>
        <v>16.8</v>
      </c>
      <c r="AR115" s="216">
        <f t="shared" si="93"/>
        <v>19.2</v>
      </c>
      <c r="AS115" s="215">
        <f t="shared" si="86"/>
        <v>16.8</v>
      </c>
      <c r="AT115" s="216">
        <f t="shared" si="84"/>
        <v>19.2</v>
      </c>
      <c r="AU115" s="217">
        <f t="shared" si="87"/>
        <v>18.2</v>
      </c>
      <c r="AV115" s="219">
        <f t="shared" si="96"/>
        <v>20.8</v>
      </c>
      <c r="AW115" s="217">
        <f t="shared" si="87"/>
        <v>18.2</v>
      </c>
      <c r="AX115" s="218">
        <f t="shared" si="88"/>
        <v>20.8</v>
      </c>
      <c r="AY115" s="225">
        <f t="shared" si="89"/>
        <v>19.599999999999998</v>
      </c>
      <c r="AZ115" s="226">
        <f t="shared" si="90"/>
        <v>22.4</v>
      </c>
      <c r="BA115" s="225">
        <f t="shared" si="89"/>
        <v>19.599999999999998</v>
      </c>
      <c r="BB115" s="226">
        <f t="shared" si="90"/>
        <v>22.4</v>
      </c>
      <c r="BC115" s="229">
        <f t="shared" si="91"/>
        <v>21</v>
      </c>
      <c r="BD115" s="230">
        <f t="shared" si="92"/>
        <v>24</v>
      </c>
      <c r="BE115" s="231" t="s">
        <v>153</v>
      </c>
      <c r="BF115" s="232" t="s">
        <v>153</v>
      </c>
      <c r="BG115" s="176" t="s">
        <v>153</v>
      </c>
      <c r="BH115" s="164" t="s">
        <v>153</v>
      </c>
    </row>
    <row r="116" spans="11:60" x14ac:dyDescent="0.25">
      <c r="K116" s="83"/>
      <c r="L116" s="83"/>
      <c r="M116" s="83"/>
      <c r="N116" s="83"/>
      <c r="AF116" s="44" t="s">
        <v>74</v>
      </c>
      <c r="AG116" s="5" t="s">
        <v>89</v>
      </c>
      <c r="AH116" s="319" t="s">
        <v>18</v>
      </c>
      <c r="AI116" s="193">
        <v>8</v>
      </c>
      <c r="AJ116" s="201">
        <v>10</v>
      </c>
      <c r="AK116" s="215">
        <f>$AI116*$AV$5</f>
        <v>9.6</v>
      </c>
      <c r="AL116" s="216">
        <f t="shared" si="93"/>
        <v>12</v>
      </c>
      <c r="AM116" s="215">
        <f t="shared" si="97"/>
        <v>9.6</v>
      </c>
      <c r="AN116" s="210">
        <f t="shared" si="93"/>
        <v>12</v>
      </c>
      <c r="AO116" s="215">
        <f t="shared" si="85"/>
        <v>8.8000000000000007</v>
      </c>
      <c r="AP116" s="216">
        <f t="shared" si="93"/>
        <v>12</v>
      </c>
      <c r="AQ116" s="217">
        <f t="shared" ref="AQ116:AU127" si="98">$AI116*$AX$5</f>
        <v>10.4</v>
      </c>
      <c r="AR116" s="218">
        <f t="shared" si="96"/>
        <v>13</v>
      </c>
      <c r="AS116" s="217">
        <f t="shared" si="98"/>
        <v>10.4</v>
      </c>
      <c r="AT116" s="218">
        <f t="shared" si="96"/>
        <v>13</v>
      </c>
      <c r="AU116" s="217">
        <f t="shared" si="98"/>
        <v>10.4</v>
      </c>
      <c r="AV116" s="219">
        <f t="shared" si="96"/>
        <v>13</v>
      </c>
      <c r="AW116" s="225">
        <f t="shared" ref="AW116:AW119" si="99">$AI116*$AZ$5</f>
        <v>11.2</v>
      </c>
      <c r="AX116" s="226">
        <f t="shared" ref="AX116:AX119" si="100">$AJ116*$AZ$5</f>
        <v>14</v>
      </c>
      <c r="AY116" s="229">
        <f t="shared" ref="AW116:AY123" si="101">$AI116*$BB$5</f>
        <v>12</v>
      </c>
      <c r="AZ116" s="230">
        <f t="shared" ref="AX116:AZ123" si="102">$AJ116*$BB$5</f>
        <v>15</v>
      </c>
      <c r="BA116" s="229">
        <f t="shared" ref="BA116:BA123" si="103">$AI116*$BB$5</f>
        <v>12</v>
      </c>
      <c r="BB116" s="230">
        <f t="shared" ref="BB116:BB123" si="104">$AJ116*$BB$5</f>
        <v>15</v>
      </c>
      <c r="BC116" s="231" t="s">
        <v>153</v>
      </c>
      <c r="BD116" s="232" t="s">
        <v>153</v>
      </c>
      <c r="BE116" s="231" t="s">
        <v>153</v>
      </c>
      <c r="BF116" s="232" t="s">
        <v>153</v>
      </c>
      <c r="BG116" s="176" t="s">
        <v>153</v>
      </c>
      <c r="BH116" s="164" t="s">
        <v>153</v>
      </c>
    </row>
    <row r="117" spans="11:60" x14ac:dyDescent="0.25">
      <c r="K117" s="83"/>
      <c r="L117" s="83"/>
      <c r="M117" s="83"/>
      <c r="N117" s="83"/>
      <c r="AF117" s="44" t="s">
        <v>74</v>
      </c>
      <c r="AG117" s="5" t="s">
        <v>31</v>
      </c>
      <c r="AH117" s="319" t="s">
        <v>18</v>
      </c>
      <c r="AI117" s="193">
        <v>10</v>
      </c>
      <c r="AJ117" s="201">
        <v>12</v>
      </c>
      <c r="AK117" s="215">
        <f t="shared" ref="AK117:AK131" si="105">$AI117*$AV$5</f>
        <v>12</v>
      </c>
      <c r="AL117" s="216">
        <f t="shared" si="93"/>
        <v>14.399999999999999</v>
      </c>
      <c r="AM117" s="215">
        <f t="shared" si="97"/>
        <v>12</v>
      </c>
      <c r="AN117" s="210">
        <f t="shared" si="93"/>
        <v>14.399999999999999</v>
      </c>
      <c r="AO117" s="215">
        <f t="shared" si="85"/>
        <v>11</v>
      </c>
      <c r="AP117" s="216">
        <f t="shared" si="93"/>
        <v>14.399999999999999</v>
      </c>
      <c r="AQ117" s="217">
        <f t="shared" si="98"/>
        <v>13</v>
      </c>
      <c r="AR117" s="218">
        <f t="shared" si="96"/>
        <v>15.600000000000001</v>
      </c>
      <c r="AS117" s="217">
        <f t="shared" si="98"/>
        <v>13</v>
      </c>
      <c r="AT117" s="218">
        <f t="shared" si="96"/>
        <v>15.600000000000001</v>
      </c>
      <c r="AU117" s="217">
        <f t="shared" si="98"/>
        <v>13</v>
      </c>
      <c r="AV117" s="219">
        <f t="shared" si="96"/>
        <v>15.600000000000001</v>
      </c>
      <c r="AW117" s="225">
        <f t="shared" si="99"/>
        <v>14</v>
      </c>
      <c r="AX117" s="226">
        <f t="shared" si="100"/>
        <v>16.799999999999997</v>
      </c>
      <c r="AY117" s="229">
        <f t="shared" si="101"/>
        <v>15</v>
      </c>
      <c r="AZ117" s="230">
        <f t="shared" si="102"/>
        <v>18</v>
      </c>
      <c r="BA117" s="229">
        <f t="shared" si="103"/>
        <v>15</v>
      </c>
      <c r="BB117" s="230">
        <f t="shared" si="104"/>
        <v>18</v>
      </c>
      <c r="BC117" s="231" t="s">
        <v>153</v>
      </c>
      <c r="BD117" s="232" t="s">
        <v>153</v>
      </c>
      <c r="BE117" s="231" t="s">
        <v>153</v>
      </c>
      <c r="BF117" s="232" t="s">
        <v>153</v>
      </c>
      <c r="BG117" s="176" t="s">
        <v>153</v>
      </c>
      <c r="BH117" s="164" t="s">
        <v>153</v>
      </c>
    </row>
    <row r="118" spans="11:60" x14ac:dyDescent="0.25">
      <c r="K118" s="83"/>
      <c r="L118" s="83"/>
      <c r="M118" s="83"/>
      <c r="N118" s="83"/>
      <c r="AF118" s="44" t="s">
        <v>74</v>
      </c>
      <c r="AG118" s="5" t="s">
        <v>32</v>
      </c>
      <c r="AH118" s="319" t="s">
        <v>18</v>
      </c>
      <c r="AI118" s="193">
        <v>14</v>
      </c>
      <c r="AJ118" s="201">
        <v>16</v>
      </c>
      <c r="AK118" s="215">
        <f t="shared" si="105"/>
        <v>16.8</v>
      </c>
      <c r="AL118" s="216">
        <f t="shared" si="93"/>
        <v>19.2</v>
      </c>
      <c r="AM118" s="215">
        <f t="shared" si="97"/>
        <v>16.8</v>
      </c>
      <c r="AN118" s="210">
        <f t="shared" si="93"/>
        <v>19.2</v>
      </c>
      <c r="AO118" s="215">
        <f t="shared" si="85"/>
        <v>15.400000000000002</v>
      </c>
      <c r="AP118" s="216">
        <f t="shared" si="93"/>
        <v>19.2</v>
      </c>
      <c r="AQ118" s="217">
        <f t="shared" si="98"/>
        <v>18.2</v>
      </c>
      <c r="AR118" s="218">
        <f t="shared" si="96"/>
        <v>20.8</v>
      </c>
      <c r="AS118" s="217">
        <f t="shared" si="98"/>
        <v>18.2</v>
      </c>
      <c r="AT118" s="218">
        <f t="shared" si="96"/>
        <v>20.8</v>
      </c>
      <c r="AU118" s="217">
        <f t="shared" si="98"/>
        <v>18.2</v>
      </c>
      <c r="AV118" s="219">
        <f t="shared" si="96"/>
        <v>20.8</v>
      </c>
      <c r="AW118" s="225">
        <f t="shared" si="99"/>
        <v>19.599999999999998</v>
      </c>
      <c r="AX118" s="226">
        <f t="shared" si="100"/>
        <v>22.4</v>
      </c>
      <c r="AY118" s="229">
        <f t="shared" si="101"/>
        <v>21</v>
      </c>
      <c r="AZ118" s="230">
        <f t="shared" si="102"/>
        <v>24</v>
      </c>
      <c r="BA118" s="229">
        <f t="shared" si="103"/>
        <v>21</v>
      </c>
      <c r="BB118" s="230">
        <f t="shared" si="104"/>
        <v>24</v>
      </c>
      <c r="BC118" s="231" t="s">
        <v>153</v>
      </c>
      <c r="BD118" s="232" t="s">
        <v>153</v>
      </c>
      <c r="BE118" s="231" t="s">
        <v>153</v>
      </c>
      <c r="BF118" s="232" t="s">
        <v>153</v>
      </c>
      <c r="BG118" s="176" t="s">
        <v>153</v>
      </c>
      <c r="BH118" s="164" t="s">
        <v>153</v>
      </c>
    </row>
    <row r="119" spans="11:60" x14ac:dyDescent="0.25">
      <c r="K119" s="83"/>
      <c r="L119" s="83"/>
      <c r="M119" s="83"/>
      <c r="N119" s="83"/>
      <c r="AF119" s="44" t="s">
        <v>74</v>
      </c>
      <c r="AG119" s="5" t="s">
        <v>88</v>
      </c>
      <c r="AH119" s="319" t="s">
        <v>18</v>
      </c>
      <c r="AI119" s="193">
        <v>16</v>
      </c>
      <c r="AJ119" s="201">
        <v>18</v>
      </c>
      <c r="AK119" s="215">
        <f t="shared" si="105"/>
        <v>19.2</v>
      </c>
      <c r="AL119" s="216">
        <f t="shared" si="93"/>
        <v>21.599999999999998</v>
      </c>
      <c r="AM119" s="215">
        <f t="shared" si="97"/>
        <v>19.2</v>
      </c>
      <c r="AN119" s="210">
        <f t="shared" si="93"/>
        <v>21.599999999999998</v>
      </c>
      <c r="AO119" s="215">
        <f t="shared" si="85"/>
        <v>17.600000000000001</v>
      </c>
      <c r="AP119" s="216">
        <f t="shared" si="93"/>
        <v>21.599999999999998</v>
      </c>
      <c r="AQ119" s="217">
        <f t="shared" si="98"/>
        <v>20.8</v>
      </c>
      <c r="AR119" s="218">
        <f t="shared" si="96"/>
        <v>23.400000000000002</v>
      </c>
      <c r="AS119" s="217">
        <f t="shared" si="98"/>
        <v>20.8</v>
      </c>
      <c r="AT119" s="218">
        <f t="shared" si="96"/>
        <v>23.400000000000002</v>
      </c>
      <c r="AU119" s="217">
        <f t="shared" si="98"/>
        <v>20.8</v>
      </c>
      <c r="AV119" s="219">
        <f t="shared" si="96"/>
        <v>23.400000000000002</v>
      </c>
      <c r="AW119" s="225">
        <f t="shared" si="99"/>
        <v>22.4</v>
      </c>
      <c r="AX119" s="226">
        <f t="shared" si="100"/>
        <v>25.2</v>
      </c>
      <c r="AY119" s="229">
        <f t="shared" si="101"/>
        <v>24</v>
      </c>
      <c r="AZ119" s="230">
        <f t="shared" si="102"/>
        <v>27</v>
      </c>
      <c r="BA119" s="229">
        <f t="shared" si="103"/>
        <v>24</v>
      </c>
      <c r="BB119" s="230">
        <f t="shared" si="104"/>
        <v>27</v>
      </c>
      <c r="BC119" s="231" t="s">
        <v>153</v>
      </c>
      <c r="BD119" s="232" t="s">
        <v>153</v>
      </c>
      <c r="BE119" s="231" t="s">
        <v>153</v>
      </c>
      <c r="BF119" s="232" t="s">
        <v>153</v>
      </c>
      <c r="BG119" s="176" t="s">
        <v>153</v>
      </c>
      <c r="BH119" s="164" t="s">
        <v>153</v>
      </c>
    </row>
    <row r="120" spans="11:60" x14ac:dyDescent="0.25">
      <c r="K120" s="83"/>
      <c r="L120" s="83"/>
      <c r="M120" s="83"/>
      <c r="N120" s="83"/>
      <c r="AF120" s="44" t="s">
        <v>75</v>
      </c>
      <c r="AG120" s="5" t="s">
        <v>89</v>
      </c>
      <c r="AH120" s="319" t="s">
        <v>18</v>
      </c>
      <c r="AI120" s="193">
        <v>10</v>
      </c>
      <c r="AJ120" s="201">
        <v>12</v>
      </c>
      <c r="AK120" s="215">
        <f t="shared" si="105"/>
        <v>12</v>
      </c>
      <c r="AL120" s="216">
        <f t="shared" si="93"/>
        <v>14.399999999999999</v>
      </c>
      <c r="AM120" s="215">
        <f t="shared" si="97"/>
        <v>12</v>
      </c>
      <c r="AN120" s="210">
        <f t="shared" si="93"/>
        <v>14.399999999999999</v>
      </c>
      <c r="AO120" s="215">
        <f t="shared" si="85"/>
        <v>11</v>
      </c>
      <c r="AP120" s="216">
        <f t="shared" si="93"/>
        <v>14.399999999999999</v>
      </c>
      <c r="AQ120" s="217">
        <f t="shared" si="98"/>
        <v>13</v>
      </c>
      <c r="AR120" s="218">
        <f t="shared" si="96"/>
        <v>15.600000000000001</v>
      </c>
      <c r="AS120" s="217">
        <f t="shared" si="98"/>
        <v>13</v>
      </c>
      <c r="AT120" s="218">
        <f t="shared" si="96"/>
        <v>15.600000000000001</v>
      </c>
      <c r="AU120" s="217">
        <f t="shared" si="98"/>
        <v>13</v>
      </c>
      <c r="AV120" s="219">
        <f t="shared" si="96"/>
        <v>15.600000000000001</v>
      </c>
      <c r="AW120" s="229">
        <f t="shared" si="101"/>
        <v>15</v>
      </c>
      <c r="AX120" s="230">
        <f t="shared" si="102"/>
        <v>18</v>
      </c>
      <c r="AY120" s="229">
        <f t="shared" si="101"/>
        <v>15</v>
      </c>
      <c r="AZ120" s="230">
        <f t="shared" si="102"/>
        <v>18</v>
      </c>
      <c r="BA120" s="229">
        <f t="shared" si="103"/>
        <v>15</v>
      </c>
      <c r="BB120" s="230">
        <f t="shared" si="104"/>
        <v>18</v>
      </c>
      <c r="BC120" s="231" t="s">
        <v>153</v>
      </c>
      <c r="BD120" s="232" t="s">
        <v>153</v>
      </c>
      <c r="BE120" s="231" t="s">
        <v>153</v>
      </c>
      <c r="BF120" s="232" t="s">
        <v>153</v>
      </c>
      <c r="BG120" s="176" t="s">
        <v>153</v>
      </c>
      <c r="BH120" s="164" t="s">
        <v>153</v>
      </c>
    </row>
    <row r="121" spans="11:60" x14ac:dyDescent="0.25">
      <c r="K121" s="83"/>
      <c r="L121" s="83"/>
      <c r="M121" s="83"/>
      <c r="N121" s="83"/>
      <c r="AF121" s="44" t="s">
        <v>75</v>
      </c>
      <c r="AG121" s="5" t="s">
        <v>31</v>
      </c>
      <c r="AH121" s="319" t="s">
        <v>18</v>
      </c>
      <c r="AI121" s="193">
        <v>12</v>
      </c>
      <c r="AJ121" s="201">
        <v>14</v>
      </c>
      <c r="AK121" s="215">
        <f t="shared" si="105"/>
        <v>14.399999999999999</v>
      </c>
      <c r="AL121" s="216">
        <f t="shared" si="93"/>
        <v>16.8</v>
      </c>
      <c r="AM121" s="215">
        <f t="shared" si="97"/>
        <v>14.399999999999999</v>
      </c>
      <c r="AN121" s="210">
        <f t="shared" si="93"/>
        <v>16.8</v>
      </c>
      <c r="AO121" s="215">
        <f t="shared" ref="AO121:AO127" si="106">$AI121*$AT$5</f>
        <v>13.200000000000001</v>
      </c>
      <c r="AP121" s="216">
        <f t="shared" si="93"/>
        <v>16.8</v>
      </c>
      <c r="AQ121" s="217">
        <f t="shared" si="98"/>
        <v>15.600000000000001</v>
      </c>
      <c r="AR121" s="218">
        <f t="shared" si="96"/>
        <v>18.2</v>
      </c>
      <c r="AS121" s="217">
        <f t="shared" si="98"/>
        <v>15.600000000000001</v>
      </c>
      <c r="AT121" s="218">
        <f t="shared" si="96"/>
        <v>18.2</v>
      </c>
      <c r="AU121" s="217">
        <f t="shared" si="98"/>
        <v>15.600000000000001</v>
      </c>
      <c r="AV121" s="219">
        <f t="shared" si="96"/>
        <v>18.2</v>
      </c>
      <c r="AW121" s="229">
        <f t="shared" si="101"/>
        <v>18</v>
      </c>
      <c r="AX121" s="230">
        <f t="shared" si="102"/>
        <v>21</v>
      </c>
      <c r="AY121" s="229">
        <f t="shared" si="101"/>
        <v>18</v>
      </c>
      <c r="AZ121" s="230">
        <f t="shared" si="102"/>
        <v>21</v>
      </c>
      <c r="BA121" s="229">
        <f t="shared" si="103"/>
        <v>18</v>
      </c>
      <c r="BB121" s="230">
        <f t="shared" si="104"/>
        <v>21</v>
      </c>
      <c r="BC121" s="231" t="s">
        <v>153</v>
      </c>
      <c r="BD121" s="232" t="s">
        <v>153</v>
      </c>
      <c r="BE121" s="231" t="s">
        <v>153</v>
      </c>
      <c r="BF121" s="232" t="s">
        <v>153</v>
      </c>
      <c r="BG121" s="176" t="s">
        <v>153</v>
      </c>
      <c r="BH121" s="164" t="s">
        <v>153</v>
      </c>
    </row>
    <row r="122" spans="11:60" x14ac:dyDescent="0.25">
      <c r="K122" s="83"/>
      <c r="L122" s="83"/>
      <c r="M122" s="83"/>
      <c r="N122" s="83"/>
      <c r="AF122" s="44" t="s">
        <v>75</v>
      </c>
      <c r="AG122" s="5" t="s">
        <v>32</v>
      </c>
      <c r="AH122" s="319" t="s">
        <v>18</v>
      </c>
      <c r="AI122" s="193">
        <v>14</v>
      </c>
      <c r="AJ122" s="201">
        <v>18</v>
      </c>
      <c r="AK122" s="215">
        <f t="shared" si="105"/>
        <v>16.8</v>
      </c>
      <c r="AL122" s="216">
        <f t="shared" si="93"/>
        <v>21.599999999999998</v>
      </c>
      <c r="AM122" s="215">
        <f t="shared" si="97"/>
        <v>16.8</v>
      </c>
      <c r="AN122" s="210">
        <f t="shared" si="93"/>
        <v>21.599999999999998</v>
      </c>
      <c r="AO122" s="215">
        <f t="shared" si="106"/>
        <v>15.400000000000002</v>
      </c>
      <c r="AP122" s="216">
        <f t="shared" si="93"/>
        <v>21.599999999999998</v>
      </c>
      <c r="AQ122" s="217">
        <f t="shared" si="98"/>
        <v>18.2</v>
      </c>
      <c r="AR122" s="218">
        <f t="shared" si="96"/>
        <v>23.400000000000002</v>
      </c>
      <c r="AS122" s="217">
        <f t="shared" si="98"/>
        <v>18.2</v>
      </c>
      <c r="AT122" s="218">
        <f t="shared" si="96"/>
        <v>23.400000000000002</v>
      </c>
      <c r="AU122" s="217">
        <f t="shared" si="98"/>
        <v>18.2</v>
      </c>
      <c r="AV122" s="219">
        <f t="shared" si="96"/>
        <v>23.400000000000002</v>
      </c>
      <c r="AW122" s="229">
        <f t="shared" si="101"/>
        <v>21</v>
      </c>
      <c r="AX122" s="230">
        <f t="shared" si="102"/>
        <v>27</v>
      </c>
      <c r="AY122" s="229">
        <f t="shared" si="101"/>
        <v>21</v>
      </c>
      <c r="AZ122" s="230">
        <f t="shared" si="102"/>
        <v>27</v>
      </c>
      <c r="BA122" s="229">
        <f t="shared" si="103"/>
        <v>21</v>
      </c>
      <c r="BB122" s="230">
        <f t="shared" si="104"/>
        <v>27</v>
      </c>
      <c r="BC122" s="231" t="s">
        <v>153</v>
      </c>
      <c r="BD122" s="232" t="s">
        <v>153</v>
      </c>
      <c r="BE122" s="231" t="s">
        <v>153</v>
      </c>
      <c r="BF122" s="232" t="s">
        <v>153</v>
      </c>
      <c r="BG122" s="176" t="s">
        <v>153</v>
      </c>
      <c r="BH122" s="164" t="s">
        <v>153</v>
      </c>
    </row>
    <row r="123" spans="11:60" x14ac:dyDescent="0.25">
      <c r="K123" s="83"/>
      <c r="L123" s="83"/>
      <c r="M123" s="83"/>
      <c r="N123" s="83"/>
      <c r="AF123" s="44" t="s">
        <v>75</v>
      </c>
      <c r="AG123" s="5" t="s">
        <v>88</v>
      </c>
      <c r="AH123" s="319" t="s">
        <v>18</v>
      </c>
      <c r="AI123" s="193">
        <v>20</v>
      </c>
      <c r="AJ123" s="201">
        <v>22</v>
      </c>
      <c r="AK123" s="215">
        <f t="shared" si="105"/>
        <v>24</v>
      </c>
      <c r="AL123" s="216">
        <f t="shared" si="93"/>
        <v>26.4</v>
      </c>
      <c r="AM123" s="215">
        <f t="shared" si="97"/>
        <v>24</v>
      </c>
      <c r="AN123" s="210">
        <f t="shared" si="93"/>
        <v>26.4</v>
      </c>
      <c r="AO123" s="215">
        <f t="shared" si="106"/>
        <v>22</v>
      </c>
      <c r="AP123" s="216">
        <f t="shared" si="93"/>
        <v>26.4</v>
      </c>
      <c r="AQ123" s="217">
        <f t="shared" si="98"/>
        <v>26</v>
      </c>
      <c r="AR123" s="218">
        <f t="shared" si="96"/>
        <v>28.6</v>
      </c>
      <c r="AS123" s="217">
        <f t="shared" si="98"/>
        <v>26</v>
      </c>
      <c r="AT123" s="218">
        <f t="shared" si="96"/>
        <v>28.6</v>
      </c>
      <c r="AU123" s="217">
        <f t="shared" si="98"/>
        <v>26</v>
      </c>
      <c r="AV123" s="219">
        <f t="shared" si="96"/>
        <v>28.6</v>
      </c>
      <c r="AW123" s="229">
        <f t="shared" si="101"/>
        <v>30</v>
      </c>
      <c r="AX123" s="230">
        <f t="shared" si="102"/>
        <v>33</v>
      </c>
      <c r="AY123" s="229">
        <f t="shared" si="101"/>
        <v>30</v>
      </c>
      <c r="AZ123" s="230">
        <f t="shared" si="102"/>
        <v>33</v>
      </c>
      <c r="BA123" s="229">
        <f t="shared" si="103"/>
        <v>30</v>
      </c>
      <c r="BB123" s="230">
        <f t="shared" si="104"/>
        <v>33</v>
      </c>
      <c r="BC123" s="231" t="s">
        <v>153</v>
      </c>
      <c r="BD123" s="232" t="s">
        <v>153</v>
      </c>
      <c r="BE123" s="231" t="s">
        <v>153</v>
      </c>
      <c r="BF123" s="232" t="s">
        <v>153</v>
      </c>
      <c r="BG123" s="176" t="s">
        <v>153</v>
      </c>
      <c r="BH123" s="164" t="s">
        <v>153</v>
      </c>
    </row>
    <row r="124" spans="11:60" x14ac:dyDescent="0.25">
      <c r="K124" s="83"/>
      <c r="L124" s="83"/>
      <c r="M124" s="83"/>
      <c r="N124" s="83"/>
      <c r="AF124" s="44" t="s">
        <v>96</v>
      </c>
      <c r="AG124" s="5" t="s">
        <v>89</v>
      </c>
      <c r="AH124" s="319" t="s">
        <v>18</v>
      </c>
      <c r="AI124" s="193">
        <v>10</v>
      </c>
      <c r="AJ124" s="201">
        <v>12</v>
      </c>
      <c r="AK124" s="215">
        <f t="shared" si="105"/>
        <v>12</v>
      </c>
      <c r="AL124" s="216">
        <f t="shared" ref="AL124:AL131" si="107">$AJ124*$AV$5</f>
        <v>14.399999999999999</v>
      </c>
      <c r="AM124" s="215">
        <f t="shared" si="97"/>
        <v>12</v>
      </c>
      <c r="AN124" s="210">
        <f t="shared" ref="AN124:AN127" si="108">$AJ124*$AV$5</f>
        <v>14.399999999999999</v>
      </c>
      <c r="AO124" s="215">
        <f t="shared" si="106"/>
        <v>11</v>
      </c>
      <c r="AP124" s="216">
        <f t="shared" ref="AP124:AP127" si="109">$AJ124*$AV$5</f>
        <v>14.399999999999999</v>
      </c>
      <c r="AQ124" s="217">
        <f t="shared" si="98"/>
        <v>13</v>
      </c>
      <c r="AR124" s="218">
        <f t="shared" si="96"/>
        <v>15.600000000000001</v>
      </c>
      <c r="AS124" s="225">
        <f t="shared" ref="AS124:AS127" si="110">$AI124*$AZ$5</f>
        <v>14</v>
      </c>
      <c r="AT124" s="226">
        <f t="shared" ref="AT124:AT127" si="111">$AJ124*$AZ$5</f>
        <v>16.799999999999997</v>
      </c>
      <c r="AU124" s="225">
        <f t="shared" ref="AU124:AU127" si="112">$AI124*$AZ$5</f>
        <v>14</v>
      </c>
      <c r="AV124" s="220">
        <f t="shared" ref="AV124:AV127" si="113">$AJ124*$AZ$5</f>
        <v>16.799999999999997</v>
      </c>
      <c r="AW124" s="229">
        <f t="shared" ref="AW124:AW127" si="114">$AI124*$BB$5</f>
        <v>15</v>
      </c>
      <c r="AX124" s="230">
        <f t="shared" ref="AX124:AX127" si="115">$AJ124*$BB$5</f>
        <v>18</v>
      </c>
      <c r="AY124" s="231" t="s">
        <v>153</v>
      </c>
      <c r="AZ124" s="232" t="s">
        <v>153</v>
      </c>
      <c r="BA124" s="231" t="s">
        <v>153</v>
      </c>
      <c r="BB124" s="232" t="s">
        <v>153</v>
      </c>
      <c r="BC124" s="231" t="s">
        <v>153</v>
      </c>
      <c r="BD124" s="232" t="s">
        <v>153</v>
      </c>
      <c r="BE124" s="231" t="s">
        <v>153</v>
      </c>
      <c r="BF124" s="232" t="s">
        <v>153</v>
      </c>
      <c r="BG124" s="176" t="s">
        <v>153</v>
      </c>
      <c r="BH124" s="164" t="s">
        <v>153</v>
      </c>
    </row>
    <row r="125" spans="11:60" x14ac:dyDescent="0.25">
      <c r="K125" s="83"/>
      <c r="L125" s="83"/>
      <c r="M125" s="83"/>
      <c r="N125" s="83"/>
      <c r="AF125" s="44" t="s">
        <v>96</v>
      </c>
      <c r="AG125" s="5" t="s">
        <v>31</v>
      </c>
      <c r="AH125" s="319" t="s">
        <v>18</v>
      </c>
      <c r="AI125" s="193">
        <v>12</v>
      </c>
      <c r="AJ125" s="201">
        <v>16</v>
      </c>
      <c r="AK125" s="215">
        <f t="shared" si="105"/>
        <v>14.399999999999999</v>
      </c>
      <c r="AL125" s="216">
        <f t="shared" si="107"/>
        <v>19.2</v>
      </c>
      <c r="AM125" s="215">
        <f t="shared" si="97"/>
        <v>14.399999999999999</v>
      </c>
      <c r="AN125" s="210">
        <f t="shared" si="108"/>
        <v>19.2</v>
      </c>
      <c r="AO125" s="215">
        <f t="shared" si="106"/>
        <v>13.200000000000001</v>
      </c>
      <c r="AP125" s="216">
        <f t="shared" si="109"/>
        <v>19.2</v>
      </c>
      <c r="AQ125" s="217">
        <f t="shared" si="98"/>
        <v>15.600000000000001</v>
      </c>
      <c r="AR125" s="218">
        <f t="shared" si="96"/>
        <v>20.8</v>
      </c>
      <c r="AS125" s="225">
        <f t="shared" si="110"/>
        <v>16.799999999999997</v>
      </c>
      <c r="AT125" s="226">
        <f t="shared" si="111"/>
        <v>22.4</v>
      </c>
      <c r="AU125" s="225">
        <f t="shared" si="112"/>
        <v>16.799999999999997</v>
      </c>
      <c r="AV125" s="220">
        <f t="shared" si="113"/>
        <v>22.4</v>
      </c>
      <c r="AW125" s="229">
        <f t="shared" si="114"/>
        <v>18</v>
      </c>
      <c r="AX125" s="230">
        <f t="shared" si="115"/>
        <v>24</v>
      </c>
      <c r="AY125" s="231" t="s">
        <v>153</v>
      </c>
      <c r="AZ125" s="232" t="s">
        <v>153</v>
      </c>
      <c r="BA125" s="231" t="s">
        <v>153</v>
      </c>
      <c r="BB125" s="232" t="s">
        <v>153</v>
      </c>
      <c r="BC125" s="231" t="s">
        <v>153</v>
      </c>
      <c r="BD125" s="232" t="s">
        <v>153</v>
      </c>
      <c r="BE125" s="231" t="s">
        <v>153</v>
      </c>
      <c r="BF125" s="232" t="s">
        <v>153</v>
      </c>
      <c r="BG125" s="176" t="s">
        <v>153</v>
      </c>
      <c r="BH125" s="164" t="s">
        <v>153</v>
      </c>
    </row>
    <row r="126" spans="11:60" x14ac:dyDescent="0.25">
      <c r="AF126" s="44" t="s">
        <v>96</v>
      </c>
      <c r="AG126" s="5" t="s">
        <v>32</v>
      </c>
      <c r="AH126" s="319" t="s">
        <v>18</v>
      </c>
      <c r="AI126" s="193">
        <v>16</v>
      </c>
      <c r="AJ126" s="201">
        <v>20</v>
      </c>
      <c r="AK126" s="215">
        <f t="shared" si="105"/>
        <v>19.2</v>
      </c>
      <c r="AL126" s="216">
        <f t="shared" si="107"/>
        <v>24</v>
      </c>
      <c r="AM126" s="215">
        <f t="shared" si="97"/>
        <v>19.2</v>
      </c>
      <c r="AN126" s="210">
        <f t="shared" si="108"/>
        <v>24</v>
      </c>
      <c r="AO126" s="215">
        <f t="shared" si="106"/>
        <v>17.600000000000001</v>
      </c>
      <c r="AP126" s="216">
        <f t="shared" si="109"/>
        <v>24</v>
      </c>
      <c r="AQ126" s="217">
        <f t="shared" si="98"/>
        <v>20.8</v>
      </c>
      <c r="AR126" s="218">
        <f t="shared" si="96"/>
        <v>26</v>
      </c>
      <c r="AS126" s="225">
        <f t="shared" si="110"/>
        <v>22.4</v>
      </c>
      <c r="AT126" s="226">
        <f t="shared" si="111"/>
        <v>28</v>
      </c>
      <c r="AU126" s="225">
        <f t="shared" si="112"/>
        <v>22.4</v>
      </c>
      <c r="AV126" s="220">
        <f t="shared" si="113"/>
        <v>28</v>
      </c>
      <c r="AW126" s="229">
        <f t="shared" si="114"/>
        <v>24</v>
      </c>
      <c r="AX126" s="230">
        <f t="shared" si="115"/>
        <v>30</v>
      </c>
      <c r="AY126" s="231" t="s">
        <v>153</v>
      </c>
      <c r="AZ126" s="232" t="s">
        <v>153</v>
      </c>
      <c r="BA126" s="231" t="s">
        <v>153</v>
      </c>
      <c r="BB126" s="232" t="s">
        <v>153</v>
      </c>
      <c r="BC126" s="231" t="s">
        <v>153</v>
      </c>
      <c r="BD126" s="232" t="s">
        <v>153</v>
      </c>
      <c r="BE126" s="231" t="s">
        <v>153</v>
      </c>
      <c r="BF126" s="232" t="s">
        <v>153</v>
      </c>
      <c r="BG126" s="176" t="s">
        <v>153</v>
      </c>
      <c r="BH126" s="164" t="s">
        <v>153</v>
      </c>
    </row>
    <row r="127" spans="11:60" x14ac:dyDescent="0.25">
      <c r="AF127" s="44" t="s">
        <v>96</v>
      </c>
      <c r="AG127" s="5" t="s">
        <v>88</v>
      </c>
      <c r="AH127" s="319" t="s">
        <v>18</v>
      </c>
      <c r="AI127" s="193">
        <v>22</v>
      </c>
      <c r="AJ127" s="201">
        <v>24</v>
      </c>
      <c r="AK127" s="215">
        <f t="shared" si="105"/>
        <v>26.4</v>
      </c>
      <c r="AL127" s="216">
        <f t="shared" si="107"/>
        <v>28.799999999999997</v>
      </c>
      <c r="AM127" s="215">
        <f t="shared" si="97"/>
        <v>26.4</v>
      </c>
      <c r="AN127" s="210">
        <f t="shared" si="108"/>
        <v>28.799999999999997</v>
      </c>
      <c r="AO127" s="215">
        <f t="shared" si="106"/>
        <v>24.200000000000003</v>
      </c>
      <c r="AP127" s="216">
        <f t="shared" si="109"/>
        <v>28.799999999999997</v>
      </c>
      <c r="AQ127" s="217">
        <f t="shared" si="98"/>
        <v>28.6</v>
      </c>
      <c r="AR127" s="218">
        <f t="shared" si="96"/>
        <v>31.200000000000003</v>
      </c>
      <c r="AS127" s="225">
        <f t="shared" si="110"/>
        <v>30.799999999999997</v>
      </c>
      <c r="AT127" s="226">
        <f t="shared" si="111"/>
        <v>33.599999999999994</v>
      </c>
      <c r="AU127" s="225">
        <f t="shared" si="112"/>
        <v>30.799999999999997</v>
      </c>
      <c r="AV127" s="220">
        <f t="shared" si="113"/>
        <v>33.599999999999994</v>
      </c>
      <c r="AW127" s="229">
        <f t="shared" si="114"/>
        <v>33</v>
      </c>
      <c r="AX127" s="230">
        <f t="shared" si="115"/>
        <v>36</v>
      </c>
      <c r="AY127" s="231" t="s">
        <v>153</v>
      </c>
      <c r="AZ127" s="232" t="s">
        <v>153</v>
      </c>
      <c r="BA127" s="231" t="s">
        <v>153</v>
      </c>
      <c r="BB127" s="232" t="s">
        <v>153</v>
      </c>
      <c r="BC127" s="231" t="s">
        <v>153</v>
      </c>
      <c r="BD127" s="232" t="s">
        <v>153</v>
      </c>
      <c r="BE127" s="231" t="s">
        <v>153</v>
      </c>
      <c r="BF127" s="232" t="s">
        <v>153</v>
      </c>
      <c r="BG127" s="176" t="s">
        <v>153</v>
      </c>
      <c r="BH127" s="164" t="s">
        <v>153</v>
      </c>
    </row>
    <row r="128" spans="11:60" x14ac:dyDescent="0.25">
      <c r="AF128" s="44" t="s">
        <v>97</v>
      </c>
      <c r="AG128" s="5" t="s">
        <v>89</v>
      </c>
      <c r="AH128" s="319" t="s">
        <v>18</v>
      </c>
      <c r="AI128" s="193">
        <v>10</v>
      </c>
      <c r="AJ128" s="201">
        <v>12</v>
      </c>
      <c r="AK128" s="215">
        <f t="shared" si="105"/>
        <v>12</v>
      </c>
      <c r="AL128" s="216">
        <f t="shared" si="107"/>
        <v>14.399999999999999</v>
      </c>
      <c r="AM128" s="217">
        <f>$AI128*$AX$5</f>
        <v>13</v>
      </c>
      <c r="AN128" s="219">
        <f t="shared" ref="AN128:AN131" si="116">$AJ128*$AX$5</f>
        <v>15.600000000000001</v>
      </c>
      <c r="AO128" s="225">
        <f t="shared" ref="AO128:AO131" si="117">$AI128*$AZ$5</f>
        <v>14</v>
      </c>
      <c r="AP128" s="226">
        <f t="shared" ref="AP128:AP131" si="118">$AJ128*$AZ$5</f>
        <v>16.799999999999997</v>
      </c>
      <c r="AQ128" s="225">
        <f t="shared" ref="AQ128:AQ131" si="119">$AI128*$AZ$5</f>
        <v>14</v>
      </c>
      <c r="AR128" s="226">
        <f t="shared" ref="AR128:AR131" si="120">$AJ128*$AZ$5</f>
        <v>16.799999999999997</v>
      </c>
      <c r="AS128" s="229">
        <f t="shared" ref="AS128:AS131" si="121">$AI128*$BB$5</f>
        <v>15</v>
      </c>
      <c r="AT128" s="230">
        <f t="shared" ref="AT128:AT131" si="122">$AJ128*$BB$5</f>
        <v>18</v>
      </c>
      <c r="AU128" s="231" t="s">
        <v>153</v>
      </c>
      <c r="AV128" s="235" t="s">
        <v>153</v>
      </c>
      <c r="AW128" s="231" t="s">
        <v>153</v>
      </c>
      <c r="AX128" s="232" t="s">
        <v>153</v>
      </c>
      <c r="AY128" s="231" t="s">
        <v>153</v>
      </c>
      <c r="AZ128" s="232" t="s">
        <v>153</v>
      </c>
      <c r="BA128" s="231" t="s">
        <v>153</v>
      </c>
      <c r="BB128" s="232" t="s">
        <v>153</v>
      </c>
      <c r="BC128" s="231" t="s">
        <v>153</v>
      </c>
      <c r="BD128" s="232" t="s">
        <v>153</v>
      </c>
      <c r="BE128" s="231" t="s">
        <v>153</v>
      </c>
      <c r="BF128" s="232" t="s">
        <v>153</v>
      </c>
      <c r="BG128" s="176" t="s">
        <v>153</v>
      </c>
      <c r="BH128" s="164" t="s">
        <v>153</v>
      </c>
    </row>
    <row r="129" spans="32:60" x14ac:dyDescent="0.25">
      <c r="AF129" s="44" t="s">
        <v>97</v>
      </c>
      <c r="AG129" s="5" t="s">
        <v>31</v>
      </c>
      <c r="AH129" s="319" t="s">
        <v>18</v>
      </c>
      <c r="AI129" s="193">
        <v>12</v>
      </c>
      <c r="AJ129" s="201">
        <v>16</v>
      </c>
      <c r="AK129" s="215">
        <f t="shared" si="105"/>
        <v>14.399999999999999</v>
      </c>
      <c r="AL129" s="216">
        <f t="shared" si="107"/>
        <v>19.2</v>
      </c>
      <c r="AM129" s="217">
        <f t="shared" ref="AM129:AM131" si="123">$AI129*$AX$5</f>
        <v>15.600000000000001</v>
      </c>
      <c r="AN129" s="219">
        <f t="shared" si="116"/>
        <v>20.8</v>
      </c>
      <c r="AO129" s="225">
        <f t="shared" si="117"/>
        <v>16.799999999999997</v>
      </c>
      <c r="AP129" s="226">
        <f t="shared" si="118"/>
        <v>22.4</v>
      </c>
      <c r="AQ129" s="225">
        <f t="shared" si="119"/>
        <v>16.799999999999997</v>
      </c>
      <c r="AR129" s="226">
        <f t="shared" si="120"/>
        <v>22.4</v>
      </c>
      <c r="AS129" s="229">
        <f t="shared" si="121"/>
        <v>18</v>
      </c>
      <c r="AT129" s="230">
        <f t="shared" si="122"/>
        <v>24</v>
      </c>
      <c r="AU129" s="231" t="s">
        <v>153</v>
      </c>
      <c r="AV129" s="235" t="s">
        <v>153</v>
      </c>
      <c r="AW129" s="231" t="s">
        <v>153</v>
      </c>
      <c r="AX129" s="232" t="s">
        <v>153</v>
      </c>
      <c r="AY129" s="231" t="s">
        <v>153</v>
      </c>
      <c r="AZ129" s="232" t="s">
        <v>153</v>
      </c>
      <c r="BA129" s="231" t="s">
        <v>153</v>
      </c>
      <c r="BB129" s="232" t="s">
        <v>153</v>
      </c>
      <c r="BC129" s="231" t="s">
        <v>153</v>
      </c>
      <c r="BD129" s="232" t="s">
        <v>153</v>
      </c>
      <c r="BE129" s="231" t="s">
        <v>153</v>
      </c>
      <c r="BF129" s="232" t="s">
        <v>153</v>
      </c>
      <c r="BG129" s="176" t="s">
        <v>153</v>
      </c>
      <c r="BH129" s="164" t="s">
        <v>153</v>
      </c>
    </row>
    <row r="130" spans="32:60" x14ac:dyDescent="0.25">
      <c r="AF130" s="44" t="s">
        <v>97</v>
      </c>
      <c r="AG130" s="5" t="s">
        <v>32</v>
      </c>
      <c r="AH130" s="319" t="s">
        <v>18</v>
      </c>
      <c r="AI130" s="193">
        <v>16</v>
      </c>
      <c r="AJ130" s="201">
        <v>20</v>
      </c>
      <c r="AK130" s="215">
        <f t="shared" si="105"/>
        <v>19.2</v>
      </c>
      <c r="AL130" s="216">
        <f t="shared" si="107"/>
        <v>24</v>
      </c>
      <c r="AM130" s="217">
        <f t="shared" si="123"/>
        <v>20.8</v>
      </c>
      <c r="AN130" s="219">
        <f t="shared" si="116"/>
        <v>26</v>
      </c>
      <c r="AO130" s="225">
        <f t="shared" si="117"/>
        <v>22.4</v>
      </c>
      <c r="AP130" s="226">
        <f t="shared" si="118"/>
        <v>28</v>
      </c>
      <c r="AQ130" s="225">
        <f t="shared" si="119"/>
        <v>22.4</v>
      </c>
      <c r="AR130" s="226">
        <f t="shared" si="120"/>
        <v>28</v>
      </c>
      <c r="AS130" s="229">
        <f t="shared" si="121"/>
        <v>24</v>
      </c>
      <c r="AT130" s="230">
        <f t="shared" si="122"/>
        <v>30</v>
      </c>
      <c r="AU130" s="231" t="s">
        <v>153</v>
      </c>
      <c r="AV130" s="235" t="s">
        <v>153</v>
      </c>
      <c r="AW130" s="231" t="s">
        <v>153</v>
      </c>
      <c r="AX130" s="232" t="s">
        <v>153</v>
      </c>
      <c r="AY130" s="231" t="s">
        <v>153</v>
      </c>
      <c r="AZ130" s="232" t="s">
        <v>153</v>
      </c>
      <c r="BA130" s="231" t="s">
        <v>153</v>
      </c>
      <c r="BB130" s="232" t="s">
        <v>153</v>
      </c>
      <c r="BC130" s="231" t="s">
        <v>153</v>
      </c>
      <c r="BD130" s="232" t="s">
        <v>153</v>
      </c>
      <c r="BE130" s="231" t="s">
        <v>153</v>
      </c>
      <c r="BF130" s="232" t="s">
        <v>153</v>
      </c>
      <c r="BG130" s="176" t="s">
        <v>153</v>
      </c>
      <c r="BH130" s="164" t="s">
        <v>153</v>
      </c>
    </row>
    <row r="131" spans="32:60" x14ac:dyDescent="0.25">
      <c r="AF131" s="42" t="s">
        <v>97</v>
      </c>
      <c r="AG131" s="34" t="s">
        <v>88</v>
      </c>
      <c r="AH131" s="321" t="s">
        <v>18</v>
      </c>
      <c r="AI131" s="193">
        <v>22</v>
      </c>
      <c r="AJ131" s="202">
        <v>24</v>
      </c>
      <c r="AK131" s="215">
        <f t="shared" si="105"/>
        <v>26.4</v>
      </c>
      <c r="AL131" s="216">
        <f t="shared" si="107"/>
        <v>28.799999999999997</v>
      </c>
      <c r="AM131" s="217">
        <f t="shared" si="123"/>
        <v>28.6</v>
      </c>
      <c r="AN131" s="219">
        <f t="shared" si="116"/>
        <v>31.200000000000003</v>
      </c>
      <c r="AO131" s="225">
        <f t="shared" si="117"/>
        <v>30.799999999999997</v>
      </c>
      <c r="AP131" s="226">
        <f t="shared" si="118"/>
        <v>33.599999999999994</v>
      </c>
      <c r="AQ131" s="225">
        <f t="shared" si="119"/>
        <v>30.799999999999997</v>
      </c>
      <c r="AR131" s="226">
        <f t="shared" si="120"/>
        <v>33.599999999999994</v>
      </c>
      <c r="AS131" s="229">
        <f t="shared" si="121"/>
        <v>33</v>
      </c>
      <c r="AT131" s="230">
        <f t="shared" si="122"/>
        <v>36</v>
      </c>
      <c r="AU131" s="233" t="s">
        <v>153</v>
      </c>
      <c r="AV131" s="236" t="s">
        <v>153</v>
      </c>
      <c r="AW131" s="233" t="s">
        <v>153</v>
      </c>
      <c r="AX131" s="234" t="s">
        <v>153</v>
      </c>
      <c r="AY131" s="231" t="s">
        <v>153</v>
      </c>
      <c r="AZ131" s="234" t="s">
        <v>153</v>
      </c>
      <c r="BA131" s="233" t="s">
        <v>153</v>
      </c>
      <c r="BB131" s="234" t="s">
        <v>153</v>
      </c>
      <c r="BC131" s="231" t="s">
        <v>153</v>
      </c>
      <c r="BD131" s="234" t="s">
        <v>153</v>
      </c>
      <c r="BE131" s="231" t="s">
        <v>153</v>
      </c>
      <c r="BF131" s="234" t="s">
        <v>153</v>
      </c>
      <c r="BG131" s="176" t="s">
        <v>153</v>
      </c>
      <c r="BH131" s="164" t="s">
        <v>153</v>
      </c>
    </row>
    <row r="132" spans="32:60" x14ac:dyDescent="0.25">
      <c r="AF132" s="44" t="s">
        <v>86</v>
      </c>
      <c r="AG132" s="5" t="s">
        <v>89</v>
      </c>
      <c r="AH132" s="319" t="s">
        <v>18</v>
      </c>
      <c r="AI132" s="195" t="s">
        <v>87</v>
      </c>
      <c r="AJ132" s="203" t="s">
        <v>87</v>
      </c>
      <c r="AK132" s="195" t="s">
        <v>87</v>
      </c>
      <c r="AL132" s="160" t="s">
        <v>87</v>
      </c>
      <c r="AM132" s="195" t="s">
        <v>87</v>
      </c>
      <c r="AN132" s="203" t="s">
        <v>87</v>
      </c>
      <c r="AO132" s="195" t="s">
        <v>87</v>
      </c>
      <c r="AP132" s="160" t="s">
        <v>87</v>
      </c>
      <c r="AQ132" s="195" t="s">
        <v>87</v>
      </c>
      <c r="AR132" s="160" t="s">
        <v>87</v>
      </c>
      <c r="AS132" s="195" t="s">
        <v>87</v>
      </c>
      <c r="AT132" s="160" t="s">
        <v>87</v>
      </c>
      <c r="AU132" s="195" t="s">
        <v>87</v>
      </c>
      <c r="AV132" s="203" t="s">
        <v>87</v>
      </c>
      <c r="AW132" s="195" t="s">
        <v>87</v>
      </c>
      <c r="AX132" s="160" t="s">
        <v>87</v>
      </c>
      <c r="AY132" s="195" t="s">
        <v>87</v>
      </c>
      <c r="AZ132" s="160" t="s">
        <v>87</v>
      </c>
      <c r="BA132" s="195" t="s">
        <v>87</v>
      </c>
      <c r="BB132" s="160" t="s">
        <v>87</v>
      </c>
      <c r="BC132" s="195" t="s">
        <v>87</v>
      </c>
      <c r="BD132" s="160" t="s">
        <v>87</v>
      </c>
      <c r="BE132" s="195" t="s">
        <v>87</v>
      </c>
      <c r="BF132" s="160" t="s">
        <v>87</v>
      </c>
      <c r="BG132" s="187" t="s">
        <v>87</v>
      </c>
      <c r="BH132" s="160" t="s">
        <v>87</v>
      </c>
    </row>
    <row r="133" spans="32:60" x14ac:dyDescent="0.25">
      <c r="AF133" s="44" t="s">
        <v>86</v>
      </c>
      <c r="AG133" s="5" t="s">
        <v>31</v>
      </c>
      <c r="AH133" s="319" t="s">
        <v>18</v>
      </c>
      <c r="AI133" s="195" t="s">
        <v>87</v>
      </c>
      <c r="AJ133" s="203" t="s">
        <v>87</v>
      </c>
      <c r="AK133" s="195" t="s">
        <v>87</v>
      </c>
      <c r="AL133" s="160" t="s">
        <v>87</v>
      </c>
      <c r="AM133" s="195" t="s">
        <v>87</v>
      </c>
      <c r="AN133" s="203" t="s">
        <v>87</v>
      </c>
      <c r="AO133" s="195" t="s">
        <v>87</v>
      </c>
      <c r="AP133" s="160" t="s">
        <v>87</v>
      </c>
      <c r="AQ133" s="195" t="s">
        <v>87</v>
      </c>
      <c r="AR133" s="160" t="s">
        <v>87</v>
      </c>
      <c r="AS133" s="195" t="s">
        <v>87</v>
      </c>
      <c r="AT133" s="160" t="s">
        <v>87</v>
      </c>
      <c r="AU133" s="195" t="s">
        <v>87</v>
      </c>
      <c r="AV133" s="203" t="s">
        <v>87</v>
      </c>
      <c r="AW133" s="195" t="s">
        <v>87</v>
      </c>
      <c r="AX133" s="160" t="s">
        <v>87</v>
      </c>
      <c r="AY133" s="195" t="s">
        <v>87</v>
      </c>
      <c r="AZ133" s="160" t="s">
        <v>87</v>
      </c>
      <c r="BA133" s="195" t="s">
        <v>87</v>
      </c>
      <c r="BB133" s="160" t="s">
        <v>87</v>
      </c>
      <c r="BC133" s="195" t="s">
        <v>87</v>
      </c>
      <c r="BD133" s="160" t="s">
        <v>87</v>
      </c>
      <c r="BE133" s="195" t="s">
        <v>87</v>
      </c>
      <c r="BF133" s="160" t="s">
        <v>87</v>
      </c>
      <c r="BG133" s="187" t="s">
        <v>87</v>
      </c>
      <c r="BH133" s="160" t="s">
        <v>87</v>
      </c>
    </row>
    <row r="134" spans="32:60" x14ac:dyDescent="0.25">
      <c r="AF134" s="44" t="s">
        <v>86</v>
      </c>
      <c r="AG134" s="5" t="s">
        <v>32</v>
      </c>
      <c r="AH134" s="319" t="s">
        <v>18</v>
      </c>
      <c r="AI134" s="195" t="s">
        <v>87</v>
      </c>
      <c r="AJ134" s="203" t="s">
        <v>87</v>
      </c>
      <c r="AK134" s="195" t="s">
        <v>87</v>
      </c>
      <c r="AL134" s="160" t="s">
        <v>87</v>
      </c>
      <c r="AM134" s="195" t="s">
        <v>87</v>
      </c>
      <c r="AN134" s="203" t="s">
        <v>87</v>
      </c>
      <c r="AO134" s="195" t="s">
        <v>87</v>
      </c>
      <c r="AP134" s="160" t="s">
        <v>87</v>
      </c>
      <c r="AQ134" s="195" t="s">
        <v>87</v>
      </c>
      <c r="AR134" s="160" t="s">
        <v>87</v>
      </c>
      <c r="AS134" s="195" t="s">
        <v>87</v>
      </c>
      <c r="AT134" s="160" t="s">
        <v>87</v>
      </c>
      <c r="AU134" s="195" t="s">
        <v>87</v>
      </c>
      <c r="AV134" s="203" t="s">
        <v>87</v>
      </c>
      <c r="AW134" s="195" t="s">
        <v>87</v>
      </c>
      <c r="AX134" s="160" t="s">
        <v>87</v>
      </c>
      <c r="AY134" s="195" t="s">
        <v>87</v>
      </c>
      <c r="AZ134" s="160" t="s">
        <v>87</v>
      </c>
      <c r="BA134" s="195" t="s">
        <v>87</v>
      </c>
      <c r="BB134" s="160" t="s">
        <v>87</v>
      </c>
      <c r="BC134" s="195" t="s">
        <v>87</v>
      </c>
      <c r="BD134" s="160" t="s">
        <v>87</v>
      </c>
      <c r="BE134" s="195" t="s">
        <v>87</v>
      </c>
      <c r="BF134" s="160" t="s">
        <v>87</v>
      </c>
      <c r="BG134" s="187" t="s">
        <v>87</v>
      </c>
      <c r="BH134" s="160" t="s">
        <v>87</v>
      </c>
    </row>
    <row r="135" spans="32:60" ht="15.75" thickBot="1" x14ac:dyDescent="0.3">
      <c r="AF135" s="44" t="s">
        <v>86</v>
      </c>
      <c r="AG135" s="5" t="s">
        <v>88</v>
      </c>
      <c r="AH135" s="319" t="s">
        <v>18</v>
      </c>
      <c r="AI135" s="195" t="s">
        <v>87</v>
      </c>
      <c r="AJ135" s="203" t="s">
        <v>87</v>
      </c>
      <c r="AK135" s="195" t="s">
        <v>87</v>
      </c>
      <c r="AL135" s="160" t="s">
        <v>87</v>
      </c>
      <c r="AM135" s="195" t="s">
        <v>87</v>
      </c>
      <c r="AN135" s="203" t="s">
        <v>87</v>
      </c>
      <c r="AO135" s="195" t="s">
        <v>87</v>
      </c>
      <c r="AP135" s="160" t="s">
        <v>87</v>
      </c>
      <c r="AQ135" s="195" t="s">
        <v>87</v>
      </c>
      <c r="AR135" s="160" t="s">
        <v>87</v>
      </c>
      <c r="AS135" s="195" t="s">
        <v>87</v>
      </c>
      <c r="AT135" s="160" t="s">
        <v>87</v>
      </c>
      <c r="AU135" s="195" t="s">
        <v>87</v>
      </c>
      <c r="AV135" s="203" t="s">
        <v>87</v>
      </c>
      <c r="AW135" s="195" t="s">
        <v>87</v>
      </c>
      <c r="AX135" s="160" t="s">
        <v>87</v>
      </c>
      <c r="AY135" s="195" t="s">
        <v>87</v>
      </c>
      <c r="AZ135" s="160" t="s">
        <v>87</v>
      </c>
      <c r="BA135" s="195" t="s">
        <v>87</v>
      </c>
      <c r="BB135" s="160" t="s">
        <v>87</v>
      </c>
      <c r="BC135" s="195" t="s">
        <v>87</v>
      </c>
      <c r="BD135" s="160" t="s">
        <v>87</v>
      </c>
      <c r="BE135" s="195" t="s">
        <v>87</v>
      </c>
      <c r="BF135" s="160" t="s">
        <v>87</v>
      </c>
      <c r="BG135" s="187" t="s">
        <v>87</v>
      </c>
      <c r="BH135" s="160" t="s">
        <v>87</v>
      </c>
    </row>
    <row r="136" spans="32:60" ht="15.75" thickTop="1" x14ac:dyDescent="0.25">
      <c r="AF136" s="43" t="s">
        <v>71</v>
      </c>
      <c r="AG136" s="35" t="s">
        <v>89</v>
      </c>
      <c r="AH136" s="185" t="s">
        <v>19</v>
      </c>
      <c r="AI136" s="192">
        <v>7</v>
      </c>
      <c r="AJ136" s="200">
        <v>10</v>
      </c>
      <c r="AK136" s="211">
        <f>$AI136*$AT$5</f>
        <v>7.7000000000000011</v>
      </c>
      <c r="AL136" s="212">
        <f t="shared" ref="AL136:AR147" si="124">$AJ136*$AT$5</f>
        <v>11</v>
      </c>
      <c r="AM136" s="211">
        <f>$AI136*$AT$5</f>
        <v>7.7000000000000011</v>
      </c>
      <c r="AN136" s="208">
        <f t="shared" si="124"/>
        <v>11</v>
      </c>
      <c r="AO136" s="211">
        <f>$AI136*$AT$5</f>
        <v>7.7000000000000011</v>
      </c>
      <c r="AP136" s="212">
        <f t="shared" si="124"/>
        <v>11</v>
      </c>
      <c r="AQ136" s="211">
        <f>$AI136*$AT$5</f>
        <v>7.7000000000000011</v>
      </c>
      <c r="AR136" s="212">
        <f t="shared" si="124"/>
        <v>11</v>
      </c>
      <c r="AS136" s="227">
        <f>$AI136*$AV$5</f>
        <v>8.4</v>
      </c>
      <c r="AT136" s="228">
        <f t="shared" ref="AT136:AZ147" si="125">$AJ136*$AV$5</f>
        <v>12</v>
      </c>
      <c r="AU136" s="227">
        <f>$AI136*$AV$5</f>
        <v>8.4</v>
      </c>
      <c r="AV136" s="221">
        <f t="shared" si="125"/>
        <v>12</v>
      </c>
      <c r="AW136" s="227">
        <f>$AI136*$AV$5</f>
        <v>8.4</v>
      </c>
      <c r="AX136" s="228">
        <f t="shared" si="125"/>
        <v>12</v>
      </c>
      <c r="AY136" s="227">
        <f>$AI136*$AV$5</f>
        <v>8.4</v>
      </c>
      <c r="AZ136" s="228">
        <f t="shared" si="125"/>
        <v>12</v>
      </c>
      <c r="BA136" s="238">
        <f>$AI136*$AX$5</f>
        <v>9.1</v>
      </c>
      <c r="BB136" s="239">
        <f>$AJ136*$AX$5</f>
        <v>13</v>
      </c>
      <c r="BC136" s="238">
        <f>$AI136*$AX$5</f>
        <v>9.1</v>
      </c>
      <c r="BD136" s="239">
        <f>$AJ136*$AX$5</f>
        <v>13</v>
      </c>
      <c r="BE136" s="240">
        <f>$AI136*$AZ$5</f>
        <v>9.7999999999999989</v>
      </c>
      <c r="BF136" s="241">
        <f>$AJ136*$AZ$5</f>
        <v>14</v>
      </c>
      <c r="BG136" s="237">
        <f>$AI136*$BB$5</f>
        <v>10.5</v>
      </c>
      <c r="BH136" s="167">
        <f>$AJ136*$BB$5</f>
        <v>15</v>
      </c>
    </row>
    <row r="137" spans="32:60" x14ac:dyDescent="0.25">
      <c r="AF137" s="44" t="s">
        <v>71</v>
      </c>
      <c r="AG137" s="5" t="s">
        <v>31</v>
      </c>
      <c r="AH137" s="319" t="s">
        <v>19</v>
      </c>
      <c r="AI137" s="193">
        <v>10</v>
      </c>
      <c r="AJ137" s="201">
        <v>12</v>
      </c>
      <c r="AK137" s="213">
        <f t="shared" ref="AK137:AQ152" si="126">$AI137*$AT$5</f>
        <v>11</v>
      </c>
      <c r="AL137" s="214">
        <f t="shared" si="124"/>
        <v>13.200000000000001</v>
      </c>
      <c r="AM137" s="213">
        <f t="shared" si="126"/>
        <v>11</v>
      </c>
      <c r="AN137" s="209">
        <f t="shared" si="124"/>
        <v>13.200000000000001</v>
      </c>
      <c r="AO137" s="213">
        <f t="shared" si="126"/>
        <v>11</v>
      </c>
      <c r="AP137" s="214">
        <f t="shared" si="124"/>
        <v>13.200000000000001</v>
      </c>
      <c r="AQ137" s="213">
        <f t="shared" si="126"/>
        <v>11</v>
      </c>
      <c r="AR137" s="214">
        <f t="shared" si="124"/>
        <v>13.200000000000001</v>
      </c>
      <c r="AS137" s="215">
        <f t="shared" ref="AS137:AY147" si="127">$AI137*$AV$5</f>
        <v>12</v>
      </c>
      <c r="AT137" s="216">
        <f t="shared" si="125"/>
        <v>14.399999999999999</v>
      </c>
      <c r="AU137" s="215">
        <f t="shared" si="127"/>
        <v>12</v>
      </c>
      <c r="AV137" s="210">
        <f t="shared" si="125"/>
        <v>14.399999999999999</v>
      </c>
      <c r="AW137" s="215">
        <f t="shared" si="127"/>
        <v>12</v>
      </c>
      <c r="AX137" s="216">
        <f t="shared" si="125"/>
        <v>14.399999999999999</v>
      </c>
      <c r="AY137" s="215">
        <f t="shared" si="127"/>
        <v>12</v>
      </c>
      <c r="AZ137" s="216">
        <f t="shared" si="125"/>
        <v>14.399999999999999</v>
      </c>
      <c r="BA137" s="217">
        <f t="shared" ref="AU137:BC147" si="128">$AI137*$AX$5</f>
        <v>13</v>
      </c>
      <c r="BB137" s="218">
        <f t="shared" ref="AX137:BD147" si="129">$AJ137*$AX$5</f>
        <v>15.600000000000001</v>
      </c>
      <c r="BC137" s="217">
        <f t="shared" si="128"/>
        <v>13</v>
      </c>
      <c r="BD137" s="218">
        <f t="shared" si="129"/>
        <v>15.600000000000001</v>
      </c>
      <c r="BE137" s="225">
        <f t="shared" ref="AY137:BE147" si="130">$AI137*$AZ$5</f>
        <v>14</v>
      </c>
      <c r="BF137" s="226">
        <f t="shared" ref="AZ137:BF147" si="131">$AJ137*$AZ$5</f>
        <v>16.799999999999997</v>
      </c>
      <c r="BG137" s="222">
        <f t="shared" ref="BC137:BG147" si="132">$AI137*$BB$5</f>
        <v>15</v>
      </c>
      <c r="BH137" s="168">
        <f t="shared" ref="BD137:BH147" si="133">$AJ137*$BB$5</f>
        <v>18</v>
      </c>
    </row>
    <row r="138" spans="32:60" x14ac:dyDescent="0.25">
      <c r="AF138" s="44" t="s">
        <v>71</v>
      </c>
      <c r="AG138" s="5" t="s">
        <v>32</v>
      </c>
      <c r="AH138" s="319" t="s">
        <v>19</v>
      </c>
      <c r="AI138" s="193">
        <v>12</v>
      </c>
      <c r="AJ138" s="201">
        <v>14</v>
      </c>
      <c r="AK138" s="213">
        <f t="shared" si="126"/>
        <v>13.200000000000001</v>
      </c>
      <c r="AL138" s="214">
        <f t="shared" si="124"/>
        <v>15.400000000000002</v>
      </c>
      <c r="AM138" s="213">
        <f t="shared" si="126"/>
        <v>13.200000000000001</v>
      </c>
      <c r="AN138" s="209">
        <f t="shared" si="124"/>
        <v>15.400000000000002</v>
      </c>
      <c r="AO138" s="213">
        <f t="shared" si="126"/>
        <v>13.200000000000001</v>
      </c>
      <c r="AP138" s="214">
        <f t="shared" si="124"/>
        <v>15.400000000000002</v>
      </c>
      <c r="AQ138" s="213">
        <f t="shared" si="126"/>
        <v>13.200000000000001</v>
      </c>
      <c r="AR138" s="214">
        <f t="shared" si="124"/>
        <v>15.400000000000002</v>
      </c>
      <c r="AS138" s="215">
        <f t="shared" si="127"/>
        <v>14.399999999999999</v>
      </c>
      <c r="AT138" s="216">
        <f t="shared" si="125"/>
        <v>16.8</v>
      </c>
      <c r="AU138" s="215">
        <f t="shared" si="127"/>
        <v>14.399999999999999</v>
      </c>
      <c r="AV138" s="210">
        <f t="shared" si="125"/>
        <v>16.8</v>
      </c>
      <c r="AW138" s="215">
        <f t="shared" si="127"/>
        <v>14.399999999999999</v>
      </c>
      <c r="AX138" s="216">
        <f t="shared" si="125"/>
        <v>16.8</v>
      </c>
      <c r="AY138" s="215">
        <f t="shared" si="127"/>
        <v>14.399999999999999</v>
      </c>
      <c r="AZ138" s="216">
        <f t="shared" si="125"/>
        <v>16.8</v>
      </c>
      <c r="BA138" s="217">
        <f t="shared" si="128"/>
        <v>15.600000000000001</v>
      </c>
      <c r="BB138" s="218">
        <f t="shared" si="129"/>
        <v>18.2</v>
      </c>
      <c r="BC138" s="217">
        <f t="shared" si="128"/>
        <v>15.600000000000001</v>
      </c>
      <c r="BD138" s="218">
        <f t="shared" si="129"/>
        <v>18.2</v>
      </c>
      <c r="BE138" s="225">
        <f t="shared" si="130"/>
        <v>16.799999999999997</v>
      </c>
      <c r="BF138" s="226">
        <f t="shared" si="131"/>
        <v>19.599999999999998</v>
      </c>
      <c r="BG138" s="222">
        <f t="shared" si="132"/>
        <v>18</v>
      </c>
      <c r="BH138" s="168">
        <f t="shared" si="133"/>
        <v>21</v>
      </c>
    </row>
    <row r="139" spans="32:60" x14ac:dyDescent="0.25">
      <c r="AF139" s="44" t="s">
        <v>71</v>
      </c>
      <c r="AG139" s="5" t="s">
        <v>88</v>
      </c>
      <c r="AH139" s="319" t="s">
        <v>19</v>
      </c>
      <c r="AI139" s="193">
        <v>14</v>
      </c>
      <c r="AJ139" s="201">
        <v>16</v>
      </c>
      <c r="AK139" s="213">
        <f t="shared" si="126"/>
        <v>15.400000000000002</v>
      </c>
      <c r="AL139" s="214">
        <f t="shared" si="124"/>
        <v>17.600000000000001</v>
      </c>
      <c r="AM139" s="213">
        <f t="shared" si="126"/>
        <v>15.400000000000002</v>
      </c>
      <c r="AN139" s="209">
        <f t="shared" si="124"/>
        <v>17.600000000000001</v>
      </c>
      <c r="AO139" s="223">
        <f t="shared" si="126"/>
        <v>15.400000000000002</v>
      </c>
      <c r="AP139" s="224">
        <f t="shared" si="124"/>
        <v>17.600000000000001</v>
      </c>
      <c r="AQ139" s="213">
        <f t="shared" si="126"/>
        <v>15.400000000000002</v>
      </c>
      <c r="AR139" s="214">
        <f t="shared" si="124"/>
        <v>17.600000000000001</v>
      </c>
      <c r="AS139" s="215">
        <f t="shared" si="127"/>
        <v>16.8</v>
      </c>
      <c r="AT139" s="216">
        <f t="shared" si="125"/>
        <v>19.2</v>
      </c>
      <c r="AU139" s="215">
        <f t="shared" si="127"/>
        <v>16.8</v>
      </c>
      <c r="AV139" s="210">
        <f t="shared" si="125"/>
        <v>19.2</v>
      </c>
      <c r="AW139" s="215">
        <f t="shared" si="127"/>
        <v>16.8</v>
      </c>
      <c r="AX139" s="216">
        <f t="shared" si="125"/>
        <v>19.2</v>
      </c>
      <c r="AY139" s="215">
        <f t="shared" si="127"/>
        <v>16.8</v>
      </c>
      <c r="AZ139" s="216">
        <f t="shared" si="125"/>
        <v>19.2</v>
      </c>
      <c r="BA139" s="217">
        <f t="shared" si="128"/>
        <v>18.2</v>
      </c>
      <c r="BB139" s="218">
        <f t="shared" si="129"/>
        <v>20.8</v>
      </c>
      <c r="BC139" s="217">
        <f t="shared" si="128"/>
        <v>18.2</v>
      </c>
      <c r="BD139" s="218">
        <f t="shared" si="129"/>
        <v>20.8</v>
      </c>
      <c r="BE139" s="225">
        <f t="shared" si="130"/>
        <v>19.599999999999998</v>
      </c>
      <c r="BF139" s="226">
        <f t="shared" si="131"/>
        <v>22.4</v>
      </c>
      <c r="BG139" s="222">
        <f t="shared" si="132"/>
        <v>21</v>
      </c>
      <c r="BH139" s="168">
        <f t="shared" si="133"/>
        <v>24</v>
      </c>
    </row>
    <row r="140" spans="32:60" x14ac:dyDescent="0.25">
      <c r="AF140" s="44" t="s">
        <v>94</v>
      </c>
      <c r="AG140" s="5" t="s">
        <v>89</v>
      </c>
      <c r="AH140" s="319" t="s">
        <v>19</v>
      </c>
      <c r="AI140" s="193">
        <v>8</v>
      </c>
      <c r="AJ140" s="201">
        <v>10</v>
      </c>
      <c r="AK140" s="213">
        <f t="shared" si="126"/>
        <v>8.8000000000000007</v>
      </c>
      <c r="AL140" s="214">
        <f t="shared" si="124"/>
        <v>11</v>
      </c>
      <c r="AM140" s="213">
        <f t="shared" si="126"/>
        <v>8.8000000000000007</v>
      </c>
      <c r="AN140" s="209">
        <f t="shared" si="124"/>
        <v>11</v>
      </c>
      <c r="AO140" s="215">
        <f>$AI140*$AV$5</f>
        <v>9.6</v>
      </c>
      <c r="AP140" s="216">
        <f t="shared" ref="AL140:AR155" si="134">$AJ140*$AV$5</f>
        <v>12</v>
      </c>
      <c r="AQ140" s="215">
        <f>$AI140*$AV$5</f>
        <v>9.6</v>
      </c>
      <c r="AR140" s="216">
        <f t="shared" si="134"/>
        <v>12</v>
      </c>
      <c r="AS140" s="215">
        <f t="shared" si="127"/>
        <v>9.6</v>
      </c>
      <c r="AT140" s="216">
        <f t="shared" si="125"/>
        <v>12</v>
      </c>
      <c r="AU140" s="215">
        <f t="shared" si="127"/>
        <v>9.6</v>
      </c>
      <c r="AV140" s="210">
        <f t="shared" si="125"/>
        <v>12</v>
      </c>
      <c r="AW140" s="215">
        <f t="shared" si="127"/>
        <v>9.6</v>
      </c>
      <c r="AX140" s="216">
        <f t="shared" si="125"/>
        <v>12</v>
      </c>
      <c r="AY140" s="217">
        <f t="shared" si="128"/>
        <v>10.4</v>
      </c>
      <c r="AZ140" s="218">
        <f t="shared" si="129"/>
        <v>13</v>
      </c>
      <c r="BA140" s="217">
        <f t="shared" si="128"/>
        <v>10.4</v>
      </c>
      <c r="BB140" s="218">
        <f t="shared" si="129"/>
        <v>13</v>
      </c>
      <c r="BC140" s="225">
        <f t="shared" si="130"/>
        <v>11.2</v>
      </c>
      <c r="BD140" s="226">
        <f t="shared" si="131"/>
        <v>14</v>
      </c>
      <c r="BE140" s="229">
        <f t="shared" si="132"/>
        <v>12</v>
      </c>
      <c r="BF140" s="230">
        <f t="shared" si="133"/>
        <v>15</v>
      </c>
      <c r="BG140" s="176" t="s">
        <v>153</v>
      </c>
      <c r="BH140" s="164" t="s">
        <v>153</v>
      </c>
    </row>
    <row r="141" spans="32:60" x14ac:dyDescent="0.25">
      <c r="AF141" s="44" t="s">
        <v>94</v>
      </c>
      <c r="AG141" s="5" t="s">
        <v>31</v>
      </c>
      <c r="AH141" s="319" t="s">
        <v>19</v>
      </c>
      <c r="AI141" s="193">
        <v>12</v>
      </c>
      <c r="AJ141" s="201">
        <v>14</v>
      </c>
      <c r="AK141" s="213">
        <f t="shared" si="126"/>
        <v>13.200000000000001</v>
      </c>
      <c r="AL141" s="214">
        <f t="shared" si="124"/>
        <v>15.400000000000002</v>
      </c>
      <c r="AM141" s="213">
        <f t="shared" si="126"/>
        <v>13.200000000000001</v>
      </c>
      <c r="AN141" s="209">
        <f t="shared" si="124"/>
        <v>15.400000000000002</v>
      </c>
      <c r="AO141" s="215">
        <f t="shared" ref="AO141:AO147" si="135">$AI141*$AV$5</f>
        <v>14.399999999999999</v>
      </c>
      <c r="AP141" s="216">
        <f t="shared" si="134"/>
        <v>16.8</v>
      </c>
      <c r="AQ141" s="215">
        <f t="shared" ref="AQ141:AQ147" si="136">$AI141*$AV$5</f>
        <v>14.399999999999999</v>
      </c>
      <c r="AR141" s="216">
        <f t="shared" si="134"/>
        <v>16.8</v>
      </c>
      <c r="AS141" s="215">
        <f t="shared" si="127"/>
        <v>14.399999999999999</v>
      </c>
      <c r="AT141" s="216">
        <f t="shared" si="125"/>
        <v>16.8</v>
      </c>
      <c r="AU141" s="215">
        <f t="shared" si="127"/>
        <v>14.399999999999999</v>
      </c>
      <c r="AV141" s="210">
        <f t="shared" si="125"/>
        <v>16.8</v>
      </c>
      <c r="AW141" s="215">
        <f t="shared" si="127"/>
        <v>14.399999999999999</v>
      </c>
      <c r="AX141" s="216">
        <f t="shared" si="125"/>
        <v>16.8</v>
      </c>
      <c r="AY141" s="217">
        <f t="shared" si="128"/>
        <v>15.600000000000001</v>
      </c>
      <c r="AZ141" s="218">
        <f t="shared" si="129"/>
        <v>18.2</v>
      </c>
      <c r="BA141" s="217">
        <f t="shared" si="128"/>
        <v>15.600000000000001</v>
      </c>
      <c r="BB141" s="218">
        <f t="shared" si="129"/>
        <v>18.2</v>
      </c>
      <c r="BC141" s="225">
        <f t="shared" si="130"/>
        <v>16.799999999999997</v>
      </c>
      <c r="BD141" s="226">
        <f t="shared" si="131"/>
        <v>19.599999999999998</v>
      </c>
      <c r="BE141" s="229">
        <f t="shared" si="132"/>
        <v>18</v>
      </c>
      <c r="BF141" s="230">
        <f t="shared" si="133"/>
        <v>21</v>
      </c>
      <c r="BG141" s="176" t="s">
        <v>153</v>
      </c>
      <c r="BH141" s="164" t="s">
        <v>153</v>
      </c>
    </row>
    <row r="142" spans="32:60" x14ac:dyDescent="0.25">
      <c r="AF142" s="44" t="s">
        <v>94</v>
      </c>
      <c r="AG142" s="5" t="s">
        <v>32</v>
      </c>
      <c r="AH142" s="319" t="s">
        <v>19</v>
      </c>
      <c r="AI142" s="193">
        <v>14</v>
      </c>
      <c r="AJ142" s="201">
        <v>16</v>
      </c>
      <c r="AK142" s="213">
        <f t="shared" si="126"/>
        <v>15.400000000000002</v>
      </c>
      <c r="AL142" s="214">
        <f t="shared" si="124"/>
        <v>17.600000000000001</v>
      </c>
      <c r="AM142" s="213">
        <f t="shared" si="126"/>
        <v>15.400000000000002</v>
      </c>
      <c r="AN142" s="209">
        <f t="shared" si="124"/>
        <v>17.600000000000001</v>
      </c>
      <c r="AO142" s="215">
        <f t="shared" si="135"/>
        <v>16.8</v>
      </c>
      <c r="AP142" s="216">
        <f t="shared" si="134"/>
        <v>19.2</v>
      </c>
      <c r="AQ142" s="215">
        <f t="shared" si="136"/>
        <v>16.8</v>
      </c>
      <c r="AR142" s="216">
        <f t="shared" si="134"/>
        <v>19.2</v>
      </c>
      <c r="AS142" s="215">
        <f t="shared" si="127"/>
        <v>16.8</v>
      </c>
      <c r="AT142" s="216">
        <f t="shared" si="125"/>
        <v>19.2</v>
      </c>
      <c r="AU142" s="215">
        <f t="shared" si="127"/>
        <v>16.8</v>
      </c>
      <c r="AV142" s="210">
        <f t="shared" si="125"/>
        <v>19.2</v>
      </c>
      <c r="AW142" s="215">
        <f t="shared" si="127"/>
        <v>16.8</v>
      </c>
      <c r="AX142" s="216">
        <f t="shared" si="125"/>
        <v>19.2</v>
      </c>
      <c r="AY142" s="217">
        <f t="shared" si="128"/>
        <v>18.2</v>
      </c>
      <c r="AZ142" s="218">
        <f t="shared" si="129"/>
        <v>20.8</v>
      </c>
      <c r="BA142" s="217">
        <f t="shared" si="128"/>
        <v>18.2</v>
      </c>
      <c r="BB142" s="218">
        <f t="shared" si="129"/>
        <v>20.8</v>
      </c>
      <c r="BC142" s="225">
        <f t="shared" si="130"/>
        <v>19.599999999999998</v>
      </c>
      <c r="BD142" s="226">
        <f t="shared" si="131"/>
        <v>22.4</v>
      </c>
      <c r="BE142" s="229">
        <f t="shared" si="132"/>
        <v>21</v>
      </c>
      <c r="BF142" s="230">
        <f t="shared" si="133"/>
        <v>24</v>
      </c>
      <c r="BG142" s="176" t="s">
        <v>153</v>
      </c>
      <c r="BH142" s="164" t="s">
        <v>153</v>
      </c>
    </row>
    <row r="143" spans="32:60" x14ac:dyDescent="0.25">
      <c r="AF143" s="44" t="s">
        <v>94</v>
      </c>
      <c r="AG143" s="5" t="s">
        <v>88</v>
      </c>
      <c r="AH143" s="319" t="s">
        <v>19</v>
      </c>
      <c r="AI143" s="193">
        <v>18</v>
      </c>
      <c r="AJ143" s="207">
        <v>20</v>
      </c>
      <c r="AK143" s="213">
        <f t="shared" si="126"/>
        <v>19.8</v>
      </c>
      <c r="AL143" s="214">
        <f t="shared" si="124"/>
        <v>22</v>
      </c>
      <c r="AM143" s="213">
        <f t="shared" si="126"/>
        <v>19.8</v>
      </c>
      <c r="AN143" s="209">
        <f t="shared" si="124"/>
        <v>22</v>
      </c>
      <c r="AO143" s="215">
        <f t="shared" si="135"/>
        <v>21.599999999999998</v>
      </c>
      <c r="AP143" s="216">
        <f t="shared" si="134"/>
        <v>24</v>
      </c>
      <c r="AQ143" s="215">
        <f t="shared" si="136"/>
        <v>21.599999999999998</v>
      </c>
      <c r="AR143" s="216">
        <f t="shared" si="134"/>
        <v>24</v>
      </c>
      <c r="AS143" s="215">
        <f t="shared" si="127"/>
        <v>21.599999999999998</v>
      </c>
      <c r="AT143" s="216">
        <f t="shared" si="125"/>
        <v>24</v>
      </c>
      <c r="AU143" s="215">
        <f t="shared" si="127"/>
        <v>21.599999999999998</v>
      </c>
      <c r="AV143" s="210">
        <f t="shared" si="125"/>
        <v>24</v>
      </c>
      <c r="AW143" s="215">
        <f t="shared" si="127"/>
        <v>21.599999999999998</v>
      </c>
      <c r="AX143" s="216">
        <f t="shared" si="125"/>
        <v>24</v>
      </c>
      <c r="AY143" s="217">
        <f t="shared" si="128"/>
        <v>23.400000000000002</v>
      </c>
      <c r="AZ143" s="218">
        <f t="shared" si="129"/>
        <v>26</v>
      </c>
      <c r="BA143" s="217">
        <f t="shared" si="128"/>
        <v>23.400000000000002</v>
      </c>
      <c r="BB143" s="218">
        <f t="shared" si="129"/>
        <v>26</v>
      </c>
      <c r="BC143" s="225">
        <f t="shared" si="130"/>
        <v>25.2</v>
      </c>
      <c r="BD143" s="226">
        <f t="shared" si="131"/>
        <v>28</v>
      </c>
      <c r="BE143" s="229">
        <f t="shared" si="132"/>
        <v>27</v>
      </c>
      <c r="BF143" s="230">
        <f t="shared" si="133"/>
        <v>30</v>
      </c>
      <c r="BG143" s="176" t="s">
        <v>153</v>
      </c>
      <c r="BH143" s="164" t="s">
        <v>153</v>
      </c>
    </row>
    <row r="144" spans="32:60" x14ac:dyDescent="0.25">
      <c r="AF144" s="44" t="s">
        <v>95</v>
      </c>
      <c r="AG144" s="5" t="s">
        <v>89</v>
      </c>
      <c r="AH144" s="319" t="s">
        <v>19</v>
      </c>
      <c r="AI144" s="193">
        <v>8</v>
      </c>
      <c r="AJ144" s="201">
        <v>10</v>
      </c>
      <c r="AK144" s="213">
        <f t="shared" si="126"/>
        <v>8.8000000000000007</v>
      </c>
      <c r="AL144" s="214">
        <f t="shared" si="124"/>
        <v>11</v>
      </c>
      <c r="AM144" s="215">
        <f>$AI144*$AV$5</f>
        <v>9.6</v>
      </c>
      <c r="AN144" s="210">
        <f t="shared" si="134"/>
        <v>12</v>
      </c>
      <c r="AO144" s="215">
        <f t="shared" si="135"/>
        <v>9.6</v>
      </c>
      <c r="AP144" s="216">
        <f t="shared" si="134"/>
        <v>12</v>
      </c>
      <c r="AQ144" s="215">
        <f t="shared" si="136"/>
        <v>9.6</v>
      </c>
      <c r="AR144" s="216">
        <f t="shared" si="134"/>
        <v>12</v>
      </c>
      <c r="AS144" s="215">
        <f t="shared" si="127"/>
        <v>9.6</v>
      </c>
      <c r="AT144" s="216">
        <f t="shared" si="125"/>
        <v>12</v>
      </c>
      <c r="AU144" s="217">
        <f t="shared" si="128"/>
        <v>10.4</v>
      </c>
      <c r="AV144" s="219">
        <f t="shared" ref="AR144:AV159" si="137">$AJ144*$AX$5</f>
        <v>13</v>
      </c>
      <c r="AW144" s="217">
        <f t="shared" si="128"/>
        <v>10.4</v>
      </c>
      <c r="AX144" s="218">
        <f t="shared" si="129"/>
        <v>13</v>
      </c>
      <c r="AY144" s="225">
        <f t="shared" si="130"/>
        <v>11.2</v>
      </c>
      <c r="AZ144" s="226">
        <f t="shared" si="131"/>
        <v>14</v>
      </c>
      <c r="BA144" s="225">
        <f t="shared" si="130"/>
        <v>11.2</v>
      </c>
      <c r="BB144" s="226">
        <f t="shared" si="131"/>
        <v>14</v>
      </c>
      <c r="BC144" s="229">
        <f t="shared" si="132"/>
        <v>12</v>
      </c>
      <c r="BD144" s="230">
        <f t="shared" si="133"/>
        <v>15</v>
      </c>
      <c r="BE144" s="231" t="s">
        <v>153</v>
      </c>
      <c r="BF144" s="232" t="s">
        <v>153</v>
      </c>
      <c r="BG144" s="176" t="s">
        <v>153</v>
      </c>
      <c r="BH144" s="164" t="s">
        <v>153</v>
      </c>
    </row>
    <row r="145" spans="32:60" x14ac:dyDescent="0.25">
      <c r="AF145" s="44" t="s">
        <v>95</v>
      </c>
      <c r="AG145" s="5" t="s">
        <v>31</v>
      </c>
      <c r="AH145" s="319" t="s">
        <v>19</v>
      </c>
      <c r="AI145" s="193">
        <v>12</v>
      </c>
      <c r="AJ145" s="201">
        <v>14</v>
      </c>
      <c r="AK145" s="213">
        <f t="shared" si="126"/>
        <v>13.200000000000001</v>
      </c>
      <c r="AL145" s="214">
        <f t="shared" si="124"/>
        <v>15.400000000000002</v>
      </c>
      <c r="AM145" s="215">
        <f t="shared" ref="AM145:AM159" si="138">$AI145*$AV$5</f>
        <v>14.399999999999999</v>
      </c>
      <c r="AN145" s="210">
        <f t="shared" si="134"/>
        <v>16.8</v>
      </c>
      <c r="AO145" s="215">
        <f t="shared" si="135"/>
        <v>14.399999999999999</v>
      </c>
      <c r="AP145" s="216">
        <f t="shared" si="134"/>
        <v>16.8</v>
      </c>
      <c r="AQ145" s="215">
        <f t="shared" si="136"/>
        <v>14.399999999999999</v>
      </c>
      <c r="AR145" s="216">
        <f t="shared" si="134"/>
        <v>16.8</v>
      </c>
      <c r="AS145" s="215">
        <f t="shared" si="127"/>
        <v>14.399999999999999</v>
      </c>
      <c r="AT145" s="216">
        <f t="shared" si="125"/>
        <v>16.8</v>
      </c>
      <c r="AU145" s="217">
        <f t="shared" si="128"/>
        <v>15.600000000000001</v>
      </c>
      <c r="AV145" s="219">
        <f t="shared" si="137"/>
        <v>18.2</v>
      </c>
      <c r="AW145" s="217">
        <f t="shared" si="128"/>
        <v>15.600000000000001</v>
      </c>
      <c r="AX145" s="218">
        <f t="shared" si="129"/>
        <v>18.2</v>
      </c>
      <c r="AY145" s="225">
        <f t="shared" si="130"/>
        <v>16.799999999999997</v>
      </c>
      <c r="AZ145" s="226">
        <f t="shared" si="131"/>
        <v>19.599999999999998</v>
      </c>
      <c r="BA145" s="225">
        <f t="shared" si="130"/>
        <v>16.799999999999997</v>
      </c>
      <c r="BB145" s="226">
        <f t="shared" si="131"/>
        <v>19.599999999999998</v>
      </c>
      <c r="BC145" s="229">
        <f t="shared" si="132"/>
        <v>18</v>
      </c>
      <c r="BD145" s="230">
        <f t="shared" si="133"/>
        <v>21</v>
      </c>
      <c r="BE145" s="231" t="s">
        <v>153</v>
      </c>
      <c r="BF145" s="232" t="s">
        <v>153</v>
      </c>
      <c r="BG145" s="176" t="s">
        <v>153</v>
      </c>
      <c r="BH145" s="164" t="s">
        <v>153</v>
      </c>
    </row>
    <row r="146" spans="32:60" x14ac:dyDescent="0.25">
      <c r="AF146" s="44" t="s">
        <v>95</v>
      </c>
      <c r="AG146" s="5" t="s">
        <v>32</v>
      </c>
      <c r="AH146" s="319" t="s">
        <v>19</v>
      </c>
      <c r="AI146" s="193">
        <v>14</v>
      </c>
      <c r="AJ146" s="201">
        <v>16</v>
      </c>
      <c r="AK146" s="213">
        <f t="shared" si="126"/>
        <v>15.400000000000002</v>
      </c>
      <c r="AL146" s="214">
        <f t="shared" si="124"/>
        <v>17.600000000000001</v>
      </c>
      <c r="AM146" s="215">
        <f t="shared" si="138"/>
        <v>16.8</v>
      </c>
      <c r="AN146" s="210">
        <f t="shared" si="134"/>
        <v>19.2</v>
      </c>
      <c r="AO146" s="215">
        <f t="shared" si="135"/>
        <v>16.8</v>
      </c>
      <c r="AP146" s="216">
        <f t="shared" si="134"/>
        <v>19.2</v>
      </c>
      <c r="AQ146" s="215">
        <f t="shared" si="136"/>
        <v>16.8</v>
      </c>
      <c r="AR146" s="216">
        <f t="shared" si="134"/>
        <v>19.2</v>
      </c>
      <c r="AS146" s="215">
        <f t="shared" si="127"/>
        <v>16.8</v>
      </c>
      <c r="AT146" s="216">
        <f t="shared" si="125"/>
        <v>19.2</v>
      </c>
      <c r="AU146" s="217">
        <f t="shared" si="128"/>
        <v>18.2</v>
      </c>
      <c r="AV146" s="219">
        <f t="shared" si="137"/>
        <v>20.8</v>
      </c>
      <c r="AW146" s="217">
        <f t="shared" si="128"/>
        <v>18.2</v>
      </c>
      <c r="AX146" s="218">
        <f t="shared" si="129"/>
        <v>20.8</v>
      </c>
      <c r="AY146" s="225">
        <f t="shared" si="130"/>
        <v>19.599999999999998</v>
      </c>
      <c r="AZ146" s="226">
        <f t="shared" si="131"/>
        <v>22.4</v>
      </c>
      <c r="BA146" s="225">
        <f t="shared" si="130"/>
        <v>19.599999999999998</v>
      </c>
      <c r="BB146" s="226">
        <f t="shared" si="131"/>
        <v>22.4</v>
      </c>
      <c r="BC146" s="229">
        <f t="shared" si="132"/>
        <v>21</v>
      </c>
      <c r="BD146" s="230">
        <f t="shared" si="133"/>
        <v>24</v>
      </c>
      <c r="BE146" s="231" t="s">
        <v>153</v>
      </c>
      <c r="BF146" s="232" t="s">
        <v>153</v>
      </c>
      <c r="BG146" s="176" t="s">
        <v>153</v>
      </c>
      <c r="BH146" s="164" t="s">
        <v>153</v>
      </c>
    </row>
    <row r="147" spans="32:60" x14ac:dyDescent="0.25">
      <c r="AF147" s="44" t="s">
        <v>95</v>
      </c>
      <c r="AG147" s="5" t="s">
        <v>88</v>
      </c>
      <c r="AH147" s="319" t="s">
        <v>19</v>
      </c>
      <c r="AI147" s="193">
        <v>18</v>
      </c>
      <c r="AJ147" s="207">
        <v>20</v>
      </c>
      <c r="AK147" s="213">
        <f t="shared" si="126"/>
        <v>19.8</v>
      </c>
      <c r="AL147" s="214">
        <f t="shared" si="124"/>
        <v>22</v>
      </c>
      <c r="AM147" s="215">
        <f t="shared" si="138"/>
        <v>21.599999999999998</v>
      </c>
      <c r="AN147" s="210">
        <f t="shared" si="134"/>
        <v>24</v>
      </c>
      <c r="AO147" s="215">
        <f t="shared" si="135"/>
        <v>21.599999999999998</v>
      </c>
      <c r="AP147" s="216">
        <f t="shared" si="134"/>
        <v>24</v>
      </c>
      <c r="AQ147" s="215">
        <f t="shared" si="136"/>
        <v>21.599999999999998</v>
      </c>
      <c r="AR147" s="216">
        <f t="shared" si="134"/>
        <v>24</v>
      </c>
      <c r="AS147" s="215">
        <f t="shared" si="127"/>
        <v>21.599999999999998</v>
      </c>
      <c r="AT147" s="216">
        <f t="shared" si="125"/>
        <v>24</v>
      </c>
      <c r="AU147" s="217">
        <f t="shared" si="128"/>
        <v>23.400000000000002</v>
      </c>
      <c r="AV147" s="219">
        <f t="shared" si="137"/>
        <v>26</v>
      </c>
      <c r="AW147" s="217">
        <f t="shared" si="128"/>
        <v>23.400000000000002</v>
      </c>
      <c r="AX147" s="218">
        <f t="shared" si="129"/>
        <v>26</v>
      </c>
      <c r="AY147" s="225">
        <f t="shared" si="130"/>
        <v>25.2</v>
      </c>
      <c r="AZ147" s="226">
        <f t="shared" si="131"/>
        <v>28</v>
      </c>
      <c r="BA147" s="225">
        <f t="shared" si="130"/>
        <v>25.2</v>
      </c>
      <c r="BB147" s="226">
        <f t="shared" si="131"/>
        <v>28</v>
      </c>
      <c r="BC147" s="229">
        <f t="shared" si="132"/>
        <v>27</v>
      </c>
      <c r="BD147" s="230">
        <f t="shared" si="133"/>
        <v>30</v>
      </c>
      <c r="BE147" s="231" t="s">
        <v>153</v>
      </c>
      <c r="BF147" s="232" t="s">
        <v>153</v>
      </c>
      <c r="BG147" s="176" t="s">
        <v>153</v>
      </c>
      <c r="BH147" s="164" t="s">
        <v>153</v>
      </c>
    </row>
    <row r="148" spans="32:60" x14ac:dyDescent="0.25">
      <c r="AF148" s="44" t="s">
        <v>74</v>
      </c>
      <c r="AG148" s="5" t="s">
        <v>89</v>
      </c>
      <c r="AH148" s="319" t="s">
        <v>19</v>
      </c>
      <c r="AI148" s="193">
        <v>10</v>
      </c>
      <c r="AJ148" s="201">
        <v>12</v>
      </c>
      <c r="AK148" s="215">
        <f>$AI148*$AV$5</f>
        <v>12</v>
      </c>
      <c r="AL148" s="216">
        <f t="shared" si="134"/>
        <v>14.399999999999999</v>
      </c>
      <c r="AM148" s="215">
        <f t="shared" si="138"/>
        <v>12</v>
      </c>
      <c r="AN148" s="210">
        <f t="shared" si="134"/>
        <v>14.399999999999999</v>
      </c>
      <c r="AO148" s="215">
        <f t="shared" si="126"/>
        <v>11</v>
      </c>
      <c r="AP148" s="216">
        <f t="shared" si="134"/>
        <v>14.399999999999999</v>
      </c>
      <c r="AQ148" s="217">
        <f t="shared" ref="AQ148:AU159" si="139">$AI148*$AX$5</f>
        <v>13</v>
      </c>
      <c r="AR148" s="218">
        <f t="shared" si="137"/>
        <v>15.600000000000001</v>
      </c>
      <c r="AS148" s="217">
        <f t="shared" si="139"/>
        <v>13</v>
      </c>
      <c r="AT148" s="218">
        <f t="shared" si="137"/>
        <v>15.600000000000001</v>
      </c>
      <c r="AU148" s="217">
        <f t="shared" si="139"/>
        <v>13</v>
      </c>
      <c r="AV148" s="219">
        <f t="shared" si="137"/>
        <v>15.600000000000001</v>
      </c>
      <c r="AW148" s="225">
        <f t="shared" ref="AW148:AW151" si="140">$AI148*$AZ$5</f>
        <v>14</v>
      </c>
      <c r="AX148" s="226">
        <f t="shared" ref="AX148:AX151" si="141">$AJ148*$AZ$5</f>
        <v>16.799999999999997</v>
      </c>
      <c r="AY148" s="229">
        <f t="shared" ref="AW148:AY155" si="142">$AI148*$BB$5</f>
        <v>15</v>
      </c>
      <c r="AZ148" s="230">
        <f t="shared" ref="AX148:AZ155" si="143">$AJ148*$BB$5</f>
        <v>18</v>
      </c>
      <c r="BA148" s="229">
        <f t="shared" ref="BA148:BA155" si="144">$AI148*$BB$5</f>
        <v>15</v>
      </c>
      <c r="BB148" s="230">
        <f t="shared" ref="BB148:BB155" si="145">$AJ148*$BB$5</f>
        <v>18</v>
      </c>
      <c r="BC148" s="231" t="s">
        <v>153</v>
      </c>
      <c r="BD148" s="232" t="s">
        <v>153</v>
      </c>
      <c r="BE148" s="231" t="s">
        <v>153</v>
      </c>
      <c r="BF148" s="232" t="s">
        <v>153</v>
      </c>
      <c r="BG148" s="176" t="s">
        <v>153</v>
      </c>
      <c r="BH148" s="164" t="s">
        <v>153</v>
      </c>
    </row>
    <row r="149" spans="32:60" x14ac:dyDescent="0.25">
      <c r="AF149" s="44" t="s">
        <v>74</v>
      </c>
      <c r="AG149" s="5" t="s">
        <v>31</v>
      </c>
      <c r="AH149" s="319" t="s">
        <v>19</v>
      </c>
      <c r="AI149" s="193">
        <v>14</v>
      </c>
      <c r="AJ149" s="201">
        <v>16</v>
      </c>
      <c r="AK149" s="215">
        <f t="shared" ref="AK149:AK163" si="146">$AI149*$AV$5</f>
        <v>16.8</v>
      </c>
      <c r="AL149" s="216">
        <f t="shared" si="134"/>
        <v>19.2</v>
      </c>
      <c r="AM149" s="215">
        <f t="shared" si="138"/>
        <v>16.8</v>
      </c>
      <c r="AN149" s="210">
        <f t="shared" si="134"/>
        <v>19.2</v>
      </c>
      <c r="AO149" s="215">
        <f t="shared" si="126"/>
        <v>15.400000000000002</v>
      </c>
      <c r="AP149" s="216">
        <f t="shared" si="134"/>
        <v>19.2</v>
      </c>
      <c r="AQ149" s="217">
        <f t="shared" si="139"/>
        <v>18.2</v>
      </c>
      <c r="AR149" s="218">
        <f t="shared" si="137"/>
        <v>20.8</v>
      </c>
      <c r="AS149" s="217">
        <f t="shared" si="139"/>
        <v>18.2</v>
      </c>
      <c r="AT149" s="218">
        <f t="shared" si="137"/>
        <v>20.8</v>
      </c>
      <c r="AU149" s="217">
        <f t="shared" si="139"/>
        <v>18.2</v>
      </c>
      <c r="AV149" s="219">
        <f t="shared" si="137"/>
        <v>20.8</v>
      </c>
      <c r="AW149" s="225">
        <f t="shared" si="140"/>
        <v>19.599999999999998</v>
      </c>
      <c r="AX149" s="226">
        <f t="shared" si="141"/>
        <v>22.4</v>
      </c>
      <c r="AY149" s="229">
        <f t="shared" si="142"/>
        <v>21</v>
      </c>
      <c r="AZ149" s="230">
        <f t="shared" si="143"/>
        <v>24</v>
      </c>
      <c r="BA149" s="229">
        <f t="shared" si="144"/>
        <v>21</v>
      </c>
      <c r="BB149" s="230">
        <f t="shared" si="145"/>
        <v>24</v>
      </c>
      <c r="BC149" s="231" t="s">
        <v>153</v>
      </c>
      <c r="BD149" s="232" t="s">
        <v>153</v>
      </c>
      <c r="BE149" s="231" t="s">
        <v>153</v>
      </c>
      <c r="BF149" s="232" t="s">
        <v>153</v>
      </c>
      <c r="BG149" s="176" t="s">
        <v>153</v>
      </c>
      <c r="BH149" s="164" t="s">
        <v>153</v>
      </c>
    </row>
    <row r="150" spans="32:60" x14ac:dyDescent="0.25">
      <c r="AF150" s="44" t="s">
        <v>74</v>
      </c>
      <c r="AG150" s="5" t="s">
        <v>32</v>
      </c>
      <c r="AH150" s="319" t="s">
        <v>19</v>
      </c>
      <c r="AI150" s="193">
        <v>16</v>
      </c>
      <c r="AJ150" s="201">
        <v>18</v>
      </c>
      <c r="AK150" s="215">
        <f t="shared" si="146"/>
        <v>19.2</v>
      </c>
      <c r="AL150" s="216">
        <f t="shared" si="134"/>
        <v>21.599999999999998</v>
      </c>
      <c r="AM150" s="215">
        <f t="shared" si="138"/>
        <v>19.2</v>
      </c>
      <c r="AN150" s="210">
        <f t="shared" si="134"/>
        <v>21.599999999999998</v>
      </c>
      <c r="AO150" s="215">
        <f t="shared" si="126"/>
        <v>17.600000000000001</v>
      </c>
      <c r="AP150" s="216">
        <f t="shared" si="134"/>
        <v>21.599999999999998</v>
      </c>
      <c r="AQ150" s="217">
        <f t="shared" si="139"/>
        <v>20.8</v>
      </c>
      <c r="AR150" s="218">
        <f t="shared" si="137"/>
        <v>23.400000000000002</v>
      </c>
      <c r="AS150" s="217">
        <f t="shared" si="139"/>
        <v>20.8</v>
      </c>
      <c r="AT150" s="218">
        <f t="shared" si="137"/>
        <v>23.400000000000002</v>
      </c>
      <c r="AU150" s="217">
        <f t="shared" si="139"/>
        <v>20.8</v>
      </c>
      <c r="AV150" s="219">
        <f t="shared" si="137"/>
        <v>23.400000000000002</v>
      </c>
      <c r="AW150" s="225">
        <f t="shared" si="140"/>
        <v>22.4</v>
      </c>
      <c r="AX150" s="226">
        <f t="shared" si="141"/>
        <v>25.2</v>
      </c>
      <c r="AY150" s="229">
        <f t="shared" si="142"/>
        <v>24</v>
      </c>
      <c r="AZ150" s="230">
        <f t="shared" si="143"/>
        <v>27</v>
      </c>
      <c r="BA150" s="229">
        <f t="shared" si="144"/>
        <v>24</v>
      </c>
      <c r="BB150" s="230">
        <f t="shared" si="145"/>
        <v>27</v>
      </c>
      <c r="BC150" s="231" t="s">
        <v>153</v>
      </c>
      <c r="BD150" s="232" t="s">
        <v>153</v>
      </c>
      <c r="BE150" s="231" t="s">
        <v>153</v>
      </c>
      <c r="BF150" s="232" t="s">
        <v>153</v>
      </c>
      <c r="BG150" s="176" t="s">
        <v>153</v>
      </c>
      <c r="BH150" s="164" t="s">
        <v>153</v>
      </c>
    </row>
    <row r="151" spans="32:60" x14ac:dyDescent="0.25">
      <c r="AF151" s="44" t="s">
        <v>74</v>
      </c>
      <c r="AG151" s="5" t="s">
        <v>88</v>
      </c>
      <c r="AH151" s="319" t="s">
        <v>19</v>
      </c>
      <c r="AI151" s="193">
        <v>20</v>
      </c>
      <c r="AJ151" s="201">
        <v>22</v>
      </c>
      <c r="AK151" s="215">
        <f t="shared" si="146"/>
        <v>24</v>
      </c>
      <c r="AL151" s="216">
        <f t="shared" si="134"/>
        <v>26.4</v>
      </c>
      <c r="AM151" s="215">
        <f t="shared" si="138"/>
        <v>24</v>
      </c>
      <c r="AN151" s="210">
        <f t="shared" si="134"/>
        <v>26.4</v>
      </c>
      <c r="AO151" s="215">
        <f t="shared" si="126"/>
        <v>22</v>
      </c>
      <c r="AP151" s="216">
        <f t="shared" si="134"/>
        <v>26.4</v>
      </c>
      <c r="AQ151" s="217">
        <f t="shared" si="139"/>
        <v>26</v>
      </c>
      <c r="AR151" s="218">
        <f t="shared" si="137"/>
        <v>28.6</v>
      </c>
      <c r="AS151" s="217">
        <f t="shared" si="139"/>
        <v>26</v>
      </c>
      <c r="AT151" s="218">
        <f t="shared" si="137"/>
        <v>28.6</v>
      </c>
      <c r="AU151" s="217">
        <f t="shared" si="139"/>
        <v>26</v>
      </c>
      <c r="AV151" s="219">
        <f t="shared" si="137"/>
        <v>28.6</v>
      </c>
      <c r="AW151" s="225">
        <f t="shared" si="140"/>
        <v>28</v>
      </c>
      <c r="AX151" s="226">
        <f t="shared" si="141"/>
        <v>30.799999999999997</v>
      </c>
      <c r="AY151" s="229">
        <f t="shared" si="142"/>
        <v>30</v>
      </c>
      <c r="AZ151" s="230">
        <f t="shared" si="143"/>
        <v>33</v>
      </c>
      <c r="BA151" s="229">
        <f t="shared" si="144"/>
        <v>30</v>
      </c>
      <c r="BB151" s="230">
        <f t="shared" si="145"/>
        <v>33</v>
      </c>
      <c r="BC151" s="231" t="s">
        <v>153</v>
      </c>
      <c r="BD151" s="232" t="s">
        <v>153</v>
      </c>
      <c r="BE151" s="231" t="s">
        <v>153</v>
      </c>
      <c r="BF151" s="232" t="s">
        <v>153</v>
      </c>
      <c r="BG151" s="176" t="s">
        <v>153</v>
      </c>
      <c r="BH151" s="164" t="s">
        <v>153</v>
      </c>
    </row>
    <row r="152" spans="32:60" x14ac:dyDescent="0.25">
      <c r="AF152" s="44" t="s">
        <v>75</v>
      </c>
      <c r="AG152" s="5" t="s">
        <v>89</v>
      </c>
      <c r="AH152" s="319" t="s">
        <v>19</v>
      </c>
      <c r="AI152" s="193">
        <v>12</v>
      </c>
      <c r="AJ152" s="201">
        <v>14</v>
      </c>
      <c r="AK152" s="215">
        <f t="shared" si="146"/>
        <v>14.399999999999999</v>
      </c>
      <c r="AL152" s="216">
        <f t="shared" si="134"/>
        <v>16.8</v>
      </c>
      <c r="AM152" s="215">
        <f t="shared" si="138"/>
        <v>14.399999999999999</v>
      </c>
      <c r="AN152" s="210">
        <f t="shared" si="134"/>
        <v>16.8</v>
      </c>
      <c r="AO152" s="215">
        <f t="shared" si="126"/>
        <v>13.200000000000001</v>
      </c>
      <c r="AP152" s="216">
        <f t="shared" si="134"/>
        <v>16.8</v>
      </c>
      <c r="AQ152" s="217">
        <f t="shared" si="139"/>
        <v>15.600000000000001</v>
      </c>
      <c r="AR152" s="218">
        <f t="shared" si="137"/>
        <v>18.2</v>
      </c>
      <c r="AS152" s="217">
        <f t="shared" si="139"/>
        <v>15.600000000000001</v>
      </c>
      <c r="AT152" s="218">
        <f t="shared" si="137"/>
        <v>18.2</v>
      </c>
      <c r="AU152" s="217">
        <f t="shared" si="139"/>
        <v>15.600000000000001</v>
      </c>
      <c r="AV152" s="219">
        <f t="shared" si="137"/>
        <v>18.2</v>
      </c>
      <c r="AW152" s="229">
        <f t="shared" si="142"/>
        <v>18</v>
      </c>
      <c r="AX152" s="230">
        <f t="shared" si="143"/>
        <v>21</v>
      </c>
      <c r="AY152" s="229">
        <f t="shared" si="142"/>
        <v>18</v>
      </c>
      <c r="AZ152" s="230">
        <f t="shared" si="143"/>
        <v>21</v>
      </c>
      <c r="BA152" s="229">
        <f t="shared" si="144"/>
        <v>18</v>
      </c>
      <c r="BB152" s="230">
        <f t="shared" si="145"/>
        <v>21</v>
      </c>
      <c r="BC152" s="231" t="s">
        <v>153</v>
      </c>
      <c r="BD152" s="232" t="s">
        <v>153</v>
      </c>
      <c r="BE152" s="231" t="s">
        <v>153</v>
      </c>
      <c r="BF152" s="232" t="s">
        <v>153</v>
      </c>
      <c r="BG152" s="176" t="s">
        <v>153</v>
      </c>
      <c r="BH152" s="164" t="s">
        <v>153</v>
      </c>
    </row>
    <row r="153" spans="32:60" x14ac:dyDescent="0.25">
      <c r="AF153" s="44" t="s">
        <v>75</v>
      </c>
      <c r="AG153" s="5" t="s">
        <v>31</v>
      </c>
      <c r="AH153" s="319" t="s">
        <v>19</v>
      </c>
      <c r="AI153" s="193">
        <v>16</v>
      </c>
      <c r="AJ153" s="201">
        <v>18</v>
      </c>
      <c r="AK153" s="215">
        <f t="shared" si="146"/>
        <v>19.2</v>
      </c>
      <c r="AL153" s="216">
        <f t="shared" si="134"/>
        <v>21.599999999999998</v>
      </c>
      <c r="AM153" s="215">
        <f t="shared" si="138"/>
        <v>19.2</v>
      </c>
      <c r="AN153" s="210">
        <f t="shared" si="134"/>
        <v>21.599999999999998</v>
      </c>
      <c r="AO153" s="215">
        <f t="shared" ref="AO153:AO159" si="147">$AI153*$AT$5</f>
        <v>17.600000000000001</v>
      </c>
      <c r="AP153" s="216">
        <f t="shared" si="134"/>
        <v>21.599999999999998</v>
      </c>
      <c r="AQ153" s="217">
        <f t="shared" si="139"/>
        <v>20.8</v>
      </c>
      <c r="AR153" s="218">
        <f t="shared" si="137"/>
        <v>23.400000000000002</v>
      </c>
      <c r="AS153" s="217">
        <f t="shared" si="139"/>
        <v>20.8</v>
      </c>
      <c r="AT153" s="218">
        <f t="shared" si="137"/>
        <v>23.400000000000002</v>
      </c>
      <c r="AU153" s="217">
        <f t="shared" si="139"/>
        <v>20.8</v>
      </c>
      <c r="AV153" s="219">
        <f t="shared" si="137"/>
        <v>23.400000000000002</v>
      </c>
      <c r="AW153" s="229">
        <f t="shared" si="142"/>
        <v>24</v>
      </c>
      <c r="AX153" s="230">
        <f t="shared" si="143"/>
        <v>27</v>
      </c>
      <c r="AY153" s="229">
        <f t="shared" si="142"/>
        <v>24</v>
      </c>
      <c r="AZ153" s="230">
        <f t="shared" si="143"/>
        <v>27</v>
      </c>
      <c r="BA153" s="229">
        <f t="shared" si="144"/>
        <v>24</v>
      </c>
      <c r="BB153" s="230">
        <f t="shared" si="145"/>
        <v>27</v>
      </c>
      <c r="BC153" s="231" t="s">
        <v>153</v>
      </c>
      <c r="BD153" s="232" t="s">
        <v>153</v>
      </c>
      <c r="BE153" s="231" t="s">
        <v>153</v>
      </c>
      <c r="BF153" s="232" t="s">
        <v>153</v>
      </c>
      <c r="BG153" s="176" t="s">
        <v>153</v>
      </c>
      <c r="BH153" s="164" t="s">
        <v>153</v>
      </c>
    </row>
    <row r="154" spans="32:60" x14ac:dyDescent="0.25">
      <c r="AF154" s="44" t="s">
        <v>75</v>
      </c>
      <c r="AG154" s="5" t="s">
        <v>32</v>
      </c>
      <c r="AH154" s="319" t="s">
        <v>19</v>
      </c>
      <c r="AI154" s="193">
        <v>18</v>
      </c>
      <c r="AJ154" s="201">
        <v>22</v>
      </c>
      <c r="AK154" s="215">
        <f t="shared" si="146"/>
        <v>21.599999999999998</v>
      </c>
      <c r="AL154" s="216">
        <f t="shared" si="134"/>
        <v>26.4</v>
      </c>
      <c r="AM154" s="215">
        <f t="shared" si="138"/>
        <v>21.599999999999998</v>
      </c>
      <c r="AN154" s="210">
        <f t="shared" si="134"/>
        <v>26.4</v>
      </c>
      <c r="AO154" s="215">
        <f t="shared" si="147"/>
        <v>19.8</v>
      </c>
      <c r="AP154" s="216">
        <f t="shared" si="134"/>
        <v>26.4</v>
      </c>
      <c r="AQ154" s="217">
        <f t="shared" si="139"/>
        <v>23.400000000000002</v>
      </c>
      <c r="AR154" s="218">
        <f t="shared" si="137"/>
        <v>28.6</v>
      </c>
      <c r="AS154" s="217">
        <f t="shared" si="139"/>
        <v>23.400000000000002</v>
      </c>
      <c r="AT154" s="218">
        <f t="shared" si="137"/>
        <v>28.6</v>
      </c>
      <c r="AU154" s="217">
        <f t="shared" si="139"/>
        <v>23.400000000000002</v>
      </c>
      <c r="AV154" s="219">
        <f t="shared" si="137"/>
        <v>28.6</v>
      </c>
      <c r="AW154" s="229">
        <f t="shared" si="142"/>
        <v>27</v>
      </c>
      <c r="AX154" s="230">
        <f t="shared" si="143"/>
        <v>33</v>
      </c>
      <c r="AY154" s="229">
        <f t="shared" si="142"/>
        <v>27</v>
      </c>
      <c r="AZ154" s="230">
        <f t="shared" si="143"/>
        <v>33</v>
      </c>
      <c r="BA154" s="229">
        <f t="shared" si="144"/>
        <v>27</v>
      </c>
      <c r="BB154" s="230">
        <f t="shared" si="145"/>
        <v>33</v>
      </c>
      <c r="BC154" s="231" t="s">
        <v>153</v>
      </c>
      <c r="BD154" s="232" t="s">
        <v>153</v>
      </c>
      <c r="BE154" s="231" t="s">
        <v>153</v>
      </c>
      <c r="BF154" s="232" t="s">
        <v>153</v>
      </c>
      <c r="BG154" s="176" t="s">
        <v>153</v>
      </c>
      <c r="BH154" s="164" t="s">
        <v>153</v>
      </c>
    </row>
    <row r="155" spans="32:60" x14ac:dyDescent="0.25">
      <c r="AF155" s="44" t="s">
        <v>75</v>
      </c>
      <c r="AG155" s="5" t="s">
        <v>88</v>
      </c>
      <c r="AH155" s="319" t="s">
        <v>19</v>
      </c>
      <c r="AI155" s="193">
        <v>24</v>
      </c>
      <c r="AJ155" s="201">
        <v>26</v>
      </c>
      <c r="AK155" s="215">
        <f t="shared" si="146"/>
        <v>28.799999999999997</v>
      </c>
      <c r="AL155" s="216">
        <f t="shared" si="134"/>
        <v>31.2</v>
      </c>
      <c r="AM155" s="215">
        <f t="shared" si="138"/>
        <v>28.799999999999997</v>
      </c>
      <c r="AN155" s="210">
        <f t="shared" si="134"/>
        <v>31.2</v>
      </c>
      <c r="AO155" s="215">
        <f t="shared" si="147"/>
        <v>26.400000000000002</v>
      </c>
      <c r="AP155" s="216">
        <f t="shared" si="134"/>
        <v>31.2</v>
      </c>
      <c r="AQ155" s="217">
        <f t="shared" si="139"/>
        <v>31.200000000000003</v>
      </c>
      <c r="AR155" s="218">
        <f t="shared" si="137"/>
        <v>33.800000000000004</v>
      </c>
      <c r="AS155" s="217">
        <f t="shared" si="139"/>
        <v>31.200000000000003</v>
      </c>
      <c r="AT155" s="218">
        <f t="shared" si="137"/>
        <v>33.800000000000004</v>
      </c>
      <c r="AU155" s="217">
        <f t="shared" si="139"/>
        <v>31.200000000000003</v>
      </c>
      <c r="AV155" s="219">
        <f t="shared" si="137"/>
        <v>33.800000000000004</v>
      </c>
      <c r="AW155" s="229">
        <f t="shared" si="142"/>
        <v>36</v>
      </c>
      <c r="AX155" s="230">
        <f t="shared" si="143"/>
        <v>39</v>
      </c>
      <c r="AY155" s="229">
        <f t="shared" si="142"/>
        <v>36</v>
      </c>
      <c r="AZ155" s="230">
        <f t="shared" si="143"/>
        <v>39</v>
      </c>
      <c r="BA155" s="229">
        <f t="shared" si="144"/>
        <v>36</v>
      </c>
      <c r="BB155" s="230">
        <f t="shared" si="145"/>
        <v>39</v>
      </c>
      <c r="BC155" s="231" t="s">
        <v>153</v>
      </c>
      <c r="BD155" s="232" t="s">
        <v>153</v>
      </c>
      <c r="BE155" s="231" t="s">
        <v>153</v>
      </c>
      <c r="BF155" s="232" t="s">
        <v>153</v>
      </c>
      <c r="BG155" s="176" t="s">
        <v>153</v>
      </c>
      <c r="BH155" s="164" t="s">
        <v>153</v>
      </c>
    </row>
    <row r="156" spans="32:60" x14ac:dyDescent="0.25">
      <c r="AF156" s="44" t="s">
        <v>96</v>
      </c>
      <c r="AG156" s="5" t="s">
        <v>89</v>
      </c>
      <c r="AH156" s="319" t="s">
        <v>19</v>
      </c>
      <c r="AI156" s="193">
        <v>14</v>
      </c>
      <c r="AJ156" s="201">
        <v>16</v>
      </c>
      <c r="AK156" s="215">
        <f t="shared" si="146"/>
        <v>16.8</v>
      </c>
      <c r="AL156" s="216">
        <f t="shared" ref="AL156:AL163" si="148">$AJ156*$AV$5</f>
        <v>19.2</v>
      </c>
      <c r="AM156" s="215">
        <f t="shared" si="138"/>
        <v>16.8</v>
      </c>
      <c r="AN156" s="210">
        <f t="shared" ref="AN156:AN159" si="149">$AJ156*$AV$5</f>
        <v>19.2</v>
      </c>
      <c r="AO156" s="215">
        <f t="shared" si="147"/>
        <v>15.400000000000002</v>
      </c>
      <c r="AP156" s="216">
        <f t="shared" ref="AP156:AP159" si="150">$AJ156*$AV$5</f>
        <v>19.2</v>
      </c>
      <c r="AQ156" s="217">
        <f t="shared" si="139"/>
        <v>18.2</v>
      </c>
      <c r="AR156" s="218">
        <f t="shared" si="137"/>
        <v>20.8</v>
      </c>
      <c r="AS156" s="225">
        <f t="shared" ref="AS156:AS159" si="151">$AI156*$AZ$5</f>
        <v>19.599999999999998</v>
      </c>
      <c r="AT156" s="226">
        <f t="shared" ref="AT156:AT159" si="152">$AJ156*$AZ$5</f>
        <v>22.4</v>
      </c>
      <c r="AU156" s="225">
        <f t="shared" ref="AU156:AU159" si="153">$AI156*$AZ$5</f>
        <v>19.599999999999998</v>
      </c>
      <c r="AV156" s="220">
        <f t="shared" ref="AV156:AV159" si="154">$AJ156*$AZ$5</f>
        <v>22.4</v>
      </c>
      <c r="AW156" s="229">
        <f t="shared" ref="AW156:AW159" si="155">$AI156*$BB$5</f>
        <v>21</v>
      </c>
      <c r="AX156" s="230">
        <f t="shared" ref="AX156:AX159" si="156">$AJ156*$BB$5</f>
        <v>24</v>
      </c>
      <c r="AY156" s="231" t="s">
        <v>153</v>
      </c>
      <c r="AZ156" s="232" t="s">
        <v>153</v>
      </c>
      <c r="BA156" s="231" t="s">
        <v>153</v>
      </c>
      <c r="BB156" s="232" t="s">
        <v>153</v>
      </c>
      <c r="BC156" s="231" t="s">
        <v>153</v>
      </c>
      <c r="BD156" s="232" t="s">
        <v>153</v>
      </c>
      <c r="BE156" s="231" t="s">
        <v>153</v>
      </c>
      <c r="BF156" s="232" t="s">
        <v>153</v>
      </c>
      <c r="BG156" s="176" t="s">
        <v>153</v>
      </c>
      <c r="BH156" s="164" t="s">
        <v>153</v>
      </c>
    </row>
    <row r="157" spans="32:60" x14ac:dyDescent="0.25">
      <c r="AF157" s="44" t="s">
        <v>96</v>
      </c>
      <c r="AG157" s="5" t="s">
        <v>31</v>
      </c>
      <c r="AH157" s="319" t="s">
        <v>19</v>
      </c>
      <c r="AI157" s="193">
        <v>18</v>
      </c>
      <c r="AJ157" s="201">
        <v>20</v>
      </c>
      <c r="AK157" s="215">
        <f t="shared" si="146"/>
        <v>21.599999999999998</v>
      </c>
      <c r="AL157" s="216">
        <f t="shared" si="148"/>
        <v>24</v>
      </c>
      <c r="AM157" s="215">
        <f t="shared" si="138"/>
        <v>21.599999999999998</v>
      </c>
      <c r="AN157" s="210">
        <f t="shared" si="149"/>
        <v>24</v>
      </c>
      <c r="AO157" s="215">
        <f t="shared" si="147"/>
        <v>19.8</v>
      </c>
      <c r="AP157" s="216">
        <f t="shared" si="150"/>
        <v>24</v>
      </c>
      <c r="AQ157" s="217">
        <f t="shared" si="139"/>
        <v>23.400000000000002</v>
      </c>
      <c r="AR157" s="218">
        <f t="shared" si="137"/>
        <v>26</v>
      </c>
      <c r="AS157" s="225">
        <f t="shared" si="151"/>
        <v>25.2</v>
      </c>
      <c r="AT157" s="226">
        <f t="shared" si="152"/>
        <v>28</v>
      </c>
      <c r="AU157" s="225">
        <f t="shared" si="153"/>
        <v>25.2</v>
      </c>
      <c r="AV157" s="220">
        <f t="shared" si="154"/>
        <v>28</v>
      </c>
      <c r="AW157" s="229">
        <f t="shared" si="155"/>
        <v>27</v>
      </c>
      <c r="AX157" s="230">
        <f t="shared" si="156"/>
        <v>30</v>
      </c>
      <c r="AY157" s="231" t="s">
        <v>153</v>
      </c>
      <c r="AZ157" s="232" t="s">
        <v>153</v>
      </c>
      <c r="BA157" s="231" t="s">
        <v>153</v>
      </c>
      <c r="BB157" s="232" t="s">
        <v>153</v>
      </c>
      <c r="BC157" s="231" t="s">
        <v>153</v>
      </c>
      <c r="BD157" s="232" t="s">
        <v>153</v>
      </c>
      <c r="BE157" s="231" t="s">
        <v>153</v>
      </c>
      <c r="BF157" s="232" t="s">
        <v>153</v>
      </c>
      <c r="BG157" s="176" t="s">
        <v>153</v>
      </c>
      <c r="BH157" s="164" t="s">
        <v>153</v>
      </c>
    </row>
    <row r="158" spans="32:60" x14ac:dyDescent="0.25">
      <c r="AF158" s="44" t="s">
        <v>96</v>
      </c>
      <c r="AG158" s="5" t="s">
        <v>32</v>
      </c>
      <c r="AH158" s="319" t="s">
        <v>19</v>
      </c>
      <c r="AI158" s="193">
        <v>22</v>
      </c>
      <c r="AJ158" s="201">
        <v>24</v>
      </c>
      <c r="AK158" s="215">
        <f t="shared" si="146"/>
        <v>26.4</v>
      </c>
      <c r="AL158" s="216">
        <f t="shared" si="148"/>
        <v>28.799999999999997</v>
      </c>
      <c r="AM158" s="215">
        <f t="shared" si="138"/>
        <v>26.4</v>
      </c>
      <c r="AN158" s="210">
        <f t="shared" si="149"/>
        <v>28.799999999999997</v>
      </c>
      <c r="AO158" s="215">
        <f t="shared" si="147"/>
        <v>24.200000000000003</v>
      </c>
      <c r="AP158" s="216">
        <f t="shared" si="150"/>
        <v>28.799999999999997</v>
      </c>
      <c r="AQ158" s="217">
        <f t="shared" si="139"/>
        <v>28.6</v>
      </c>
      <c r="AR158" s="218">
        <f t="shared" si="137"/>
        <v>31.200000000000003</v>
      </c>
      <c r="AS158" s="225">
        <f t="shared" si="151"/>
        <v>30.799999999999997</v>
      </c>
      <c r="AT158" s="226">
        <f t="shared" si="152"/>
        <v>33.599999999999994</v>
      </c>
      <c r="AU158" s="225">
        <f t="shared" si="153"/>
        <v>30.799999999999997</v>
      </c>
      <c r="AV158" s="220">
        <f t="shared" si="154"/>
        <v>33.599999999999994</v>
      </c>
      <c r="AW158" s="229">
        <f t="shared" si="155"/>
        <v>33</v>
      </c>
      <c r="AX158" s="230">
        <f t="shared" si="156"/>
        <v>36</v>
      </c>
      <c r="AY158" s="231" t="s">
        <v>153</v>
      </c>
      <c r="AZ158" s="232" t="s">
        <v>153</v>
      </c>
      <c r="BA158" s="231" t="s">
        <v>153</v>
      </c>
      <c r="BB158" s="232" t="s">
        <v>153</v>
      </c>
      <c r="BC158" s="231" t="s">
        <v>153</v>
      </c>
      <c r="BD158" s="232" t="s">
        <v>153</v>
      </c>
      <c r="BE158" s="231" t="s">
        <v>153</v>
      </c>
      <c r="BF158" s="232" t="s">
        <v>153</v>
      </c>
      <c r="BG158" s="176" t="s">
        <v>153</v>
      </c>
      <c r="BH158" s="164" t="s">
        <v>153</v>
      </c>
    </row>
    <row r="159" spans="32:60" x14ac:dyDescent="0.25">
      <c r="AF159" s="44" t="s">
        <v>96</v>
      </c>
      <c r="AG159" s="5" t="s">
        <v>88</v>
      </c>
      <c r="AH159" s="319" t="s">
        <v>19</v>
      </c>
      <c r="AI159" s="193">
        <v>26</v>
      </c>
      <c r="AJ159" s="201">
        <v>30</v>
      </c>
      <c r="AK159" s="215">
        <f t="shared" si="146"/>
        <v>31.2</v>
      </c>
      <c r="AL159" s="216">
        <f t="shared" si="148"/>
        <v>36</v>
      </c>
      <c r="AM159" s="215">
        <f t="shared" si="138"/>
        <v>31.2</v>
      </c>
      <c r="AN159" s="210">
        <f t="shared" si="149"/>
        <v>36</v>
      </c>
      <c r="AO159" s="215">
        <f t="shared" si="147"/>
        <v>28.6</v>
      </c>
      <c r="AP159" s="216">
        <f t="shared" si="150"/>
        <v>36</v>
      </c>
      <c r="AQ159" s="217">
        <f t="shared" si="139"/>
        <v>33.800000000000004</v>
      </c>
      <c r="AR159" s="218">
        <f t="shared" si="137"/>
        <v>39</v>
      </c>
      <c r="AS159" s="225">
        <f t="shared" si="151"/>
        <v>36.4</v>
      </c>
      <c r="AT159" s="226">
        <f t="shared" si="152"/>
        <v>42</v>
      </c>
      <c r="AU159" s="225">
        <f t="shared" si="153"/>
        <v>36.4</v>
      </c>
      <c r="AV159" s="220">
        <f t="shared" si="154"/>
        <v>42</v>
      </c>
      <c r="AW159" s="229">
        <f t="shared" si="155"/>
        <v>39</v>
      </c>
      <c r="AX159" s="230">
        <f t="shared" si="156"/>
        <v>45</v>
      </c>
      <c r="AY159" s="231" t="s">
        <v>153</v>
      </c>
      <c r="AZ159" s="232" t="s">
        <v>153</v>
      </c>
      <c r="BA159" s="231" t="s">
        <v>153</v>
      </c>
      <c r="BB159" s="232" t="s">
        <v>153</v>
      </c>
      <c r="BC159" s="231" t="s">
        <v>153</v>
      </c>
      <c r="BD159" s="232" t="s">
        <v>153</v>
      </c>
      <c r="BE159" s="231" t="s">
        <v>153</v>
      </c>
      <c r="BF159" s="232" t="s">
        <v>153</v>
      </c>
      <c r="BG159" s="176" t="s">
        <v>153</v>
      </c>
      <c r="BH159" s="164" t="s">
        <v>153</v>
      </c>
    </row>
    <row r="160" spans="32:60" x14ac:dyDescent="0.25">
      <c r="AF160" s="44" t="s">
        <v>97</v>
      </c>
      <c r="AG160" s="5" t="s">
        <v>89</v>
      </c>
      <c r="AH160" s="319" t="s">
        <v>19</v>
      </c>
      <c r="AI160" s="193">
        <v>14</v>
      </c>
      <c r="AJ160" s="201">
        <v>16</v>
      </c>
      <c r="AK160" s="215">
        <f t="shared" si="146"/>
        <v>16.8</v>
      </c>
      <c r="AL160" s="216">
        <f t="shared" si="148"/>
        <v>19.2</v>
      </c>
      <c r="AM160" s="217">
        <f>$AI160*$AX$5</f>
        <v>18.2</v>
      </c>
      <c r="AN160" s="219">
        <f t="shared" ref="AN160:AN163" si="157">$AJ160*$AX$5</f>
        <v>20.8</v>
      </c>
      <c r="AO160" s="225">
        <f t="shared" ref="AO160:AO163" si="158">$AI160*$AZ$5</f>
        <v>19.599999999999998</v>
      </c>
      <c r="AP160" s="226">
        <f t="shared" ref="AP160:AP163" si="159">$AJ160*$AZ$5</f>
        <v>22.4</v>
      </c>
      <c r="AQ160" s="225">
        <f t="shared" ref="AQ160:AQ163" si="160">$AI160*$AZ$5</f>
        <v>19.599999999999998</v>
      </c>
      <c r="AR160" s="226">
        <f t="shared" ref="AR160:AR163" si="161">$AJ160*$AZ$5</f>
        <v>22.4</v>
      </c>
      <c r="AS160" s="229">
        <f t="shared" ref="AS160:AS163" si="162">$AI160*$BB$5</f>
        <v>21</v>
      </c>
      <c r="AT160" s="230">
        <f t="shared" ref="AT160:AT163" si="163">$AJ160*$BB$5</f>
        <v>24</v>
      </c>
      <c r="AU160" s="231" t="s">
        <v>153</v>
      </c>
      <c r="AV160" s="235" t="s">
        <v>153</v>
      </c>
      <c r="AW160" s="231" t="s">
        <v>153</v>
      </c>
      <c r="AX160" s="232" t="s">
        <v>153</v>
      </c>
      <c r="AY160" s="231" t="s">
        <v>153</v>
      </c>
      <c r="AZ160" s="232" t="s">
        <v>153</v>
      </c>
      <c r="BA160" s="231" t="s">
        <v>153</v>
      </c>
      <c r="BB160" s="232" t="s">
        <v>153</v>
      </c>
      <c r="BC160" s="231" t="s">
        <v>153</v>
      </c>
      <c r="BD160" s="232" t="s">
        <v>153</v>
      </c>
      <c r="BE160" s="231" t="s">
        <v>153</v>
      </c>
      <c r="BF160" s="232" t="s">
        <v>153</v>
      </c>
      <c r="BG160" s="176" t="s">
        <v>153</v>
      </c>
      <c r="BH160" s="164" t="s">
        <v>153</v>
      </c>
    </row>
    <row r="161" spans="26:60" x14ac:dyDescent="0.25">
      <c r="AF161" s="44" t="s">
        <v>97</v>
      </c>
      <c r="AG161" s="5" t="s">
        <v>31</v>
      </c>
      <c r="AH161" s="319" t="s">
        <v>19</v>
      </c>
      <c r="AI161" s="193">
        <v>18</v>
      </c>
      <c r="AJ161" s="201">
        <v>20</v>
      </c>
      <c r="AK161" s="215">
        <f t="shared" si="146"/>
        <v>21.599999999999998</v>
      </c>
      <c r="AL161" s="216">
        <f t="shared" si="148"/>
        <v>24</v>
      </c>
      <c r="AM161" s="217">
        <f t="shared" ref="AM161:AM163" si="164">$AI161*$AX$5</f>
        <v>23.400000000000002</v>
      </c>
      <c r="AN161" s="219">
        <f t="shared" si="157"/>
        <v>26</v>
      </c>
      <c r="AO161" s="225">
        <f t="shared" si="158"/>
        <v>25.2</v>
      </c>
      <c r="AP161" s="226">
        <f t="shared" si="159"/>
        <v>28</v>
      </c>
      <c r="AQ161" s="225">
        <f t="shared" si="160"/>
        <v>25.2</v>
      </c>
      <c r="AR161" s="226">
        <f t="shared" si="161"/>
        <v>28</v>
      </c>
      <c r="AS161" s="229">
        <f t="shared" si="162"/>
        <v>27</v>
      </c>
      <c r="AT161" s="230">
        <f t="shared" si="163"/>
        <v>30</v>
      </c>
      <c r="AU161" s="231" t="s">
        <v>153</v>
      </c>
      <c r="AV161" s="235" t="s">
        <v>153</v>
      </c>
      <c r="AW161" s="231" t="s">
        <v>153</v>
      </c>
      <c r="AX161" s="232" t="s">
        <v>153</v>
      </c>
      <c r="AY161" s="231" t="s">
        <v>153</v>
      </c>
      <c r="AZ161" s="232" t="s">
        <v>153</v>
      </c>
      <c r="BA161" s="231" t="s">
        <v>153</v>
      </c>
      <c r="BB161" s="232" t="s">
        <v>153</v>
      </c>
      <c r="BC161" s="231" t="s">
        <v>153</v>
      </c>
      <c r="BD161" s="232" t="s">
        <v>153</v>
      </c>
      <c r="BE161" s="231" t="s">
        <v>153</v>
      </c>
      <c r="BF161" s="232" t="s">
        <v>153</v>
      </c>
      <c r="BG161" s="176" t="s">
        <v>153</v>
      </c>
      <c r="BH161" s="164" t="s">
        <v>153</v>
      </c>
    </row>
    <row r="162" spans="26:60" x14ac:dyDescent="0.25">
      <c r="AF162" s="44" t="s">
        <v>97</v>
      </c>
      <c r="AG162" s="5" t="s">
        <v>32</v>
      </c>
      <c r="AH162" s="319" t="s">
        <v>19</v>
      </c>
      <c r="AI162" s="193">
        <v>22</v>
      </c>
      <c r="AJ162" s="201">
        <v>24</v>
      </c>
      <c r="AK162" s="215">
        <f t="shared" si="146"/>
        <v>26.4</v>
      </c>
      <c r="AL162" s="216">
        <f t="shared" si="148"/>
        <v>28.799999999999997</v>
      </c>
      <c r="AM162" s="217">
        <f t="shared" si="164"/>
        <v>28.6</v>
      </c>
      <c r="AN162" s="219">
        <f t="shared" si="157"/>
        <v>31.200000000000003</v>
      </c>
      <c r="AO162" s="225">
        <f t="shared" si="158"/>
        <v>30.799999999999997</v>
      </c>
      <c r="AP162" s="226">
        <f t="shared" si="159"/>
        <v>33.599999999999994</v>
      </c>
      <c r="AQ162" s="225">
        <f t="shared" si="160"/>
        <v>30.799999999999997</v>
      </c>
      <c r="AR162" s="226">
        <f t="shared" si="161"/>
        <v>33.599999999999994</v>
      </c>
      <c r="AS162" s="229">
        <f t="shared" si="162"/>
        <v>33</v>
      </c>
      <c r="AT162" s="230">
        <f t="shared" si="163"/>
        <v>36</v>
      </c>
      <c r="AU162" s="231" t="s">
        <v>153</v>
      </c>
      <c r="AV162" s="235" t="s">
        <v>153</v>
      </c>
      <c r="AW162" s="231" t="s">
        <v>153</v>
      </c>
      <c r="AX162" s="232" t="s">
        <v>153</v>
      </c>
      <c r="AY162" s="231" t="s">
        <v>153</v>
      </c>
      <c r="AZ162" s="232" t="s">
        <v>153</v>
      </c>
      <c r="BA162" s="231" t="s">
        <v>153</v>
      </c>
      <c r="BB162" s="232" t="s">
        <v>153</v>
      </c>
      <c r="BC162" s="231" t="s">
        <v>153</v>
      </c>
      <c r="BD162" s="232" t="s">
        <v>153</v>
      </c>
      <c r="BE162" s="231" t="s">
        <v>153</v>
      </c>
      <c r="BF162" s="232" t="s">
        <v>153</v>
      </c>
      <c r="BG162" s="176" t="s">
        <v>153</v>
      </c>
      <c r="BH162" s="164" t="s">
        <v>153</v>
      </c>
    </row>
    <row r="163" spans="26:60" x14ac:dyDescent="0.25">
      <c r="AF163" s="42" t="s">
        <v>97</v>
      </c>
      <c r="AG163" s="34" t="s">
        <v>88</v>
      </c>
      <c r="AH163" s="321" t="s">
        <v>19</v>
      </c>
      <c r="AI163" s="194">
        <v>26</v>
      </c>
      <c r="AJ163" s="202">
        <v>30</v>
      </c>
      <c r="AK163" s="215">
        <f t="shared" si="146"/>
        <v>31.2</v>
      </c>
      <c r="AL163" s="216">
        <f t="shared" si="148"/>
        <v>36</v>
      </c>
      <c r="AM163" s="217">
        <f t="shared" si="164"/>
        <v>33.800000000000004</v>
      </c>
      <c r="AN163" s="219">
        <f t="shared" si="157"/>
        <v>39</v>
      </c>
      <c r="AO163" s="225">
        <f t="shared" si="158"/>
        <v>36.4</v>
      </c>
      <c r="AP163" s="226">
        <f t="shared" si="159"/>
        <v>42</v>
      </c>
      <c r="AQ163" s="225">
        <f t="shared" si="160"/>
        <v>36.4</v>
      </c>
      <c r="AR163" s="226">
        <f t="shared" si="161"/>
        <v>42</v>
      </c>
      <c r="AS163" s="229">
        <f t="shared" si="162"/>
        <v>39</v>
      </c>
      <c r="AT163" s="230">
        <f t="shared" si="163"/>
        <v>45</v>
      </c>
      <c r="AU163" s="233" t="s">
        <v>153</v>
      </c>
      <c r="AV163" s="236" t="s">
        <v>153</v>
      </c>
      <c r="AW163" s="233" t="s">
        <v>153</v>
      </c>
      <c r="AX163" s="234" t="s">
        <v>153</v>
      </c>
      <c r="AY163" s="231" t="s">
        <v>153</v>
      </c>
      <c r="AZ163" s="234" t="s">
        <v>153</v>
      </c>
      <c r="BA163" s="233" t="s">
        <v>153</v>
      </c>
      <c r="BB163" s="234" t="s">
        <v>153</v>
      </c>
      <c r="BC163" s="231" t="s">
        <v>153</v>
      </c>
      <c r="BD163" s="234" t="s">
        <v>153</v>
      </c>
      <c r="BE163" s="231" t="s">
        <v>153</v>
      </c>
      <c r="BF163" s="234" t="s">
        <v>153</v>
      </c>
      <c r="BG163" s="176" t="s">
        <v>153</v>
      </c>
      <c r="BH163" s="164" t="s">
        <v>153</v>
      </c>
    </row>
    <row r="164" spans="26:60" x14ac:dyDescent="0.25">
      <c r="AF164" s="44" t="s">
        <v>86</v>
      </c>
      <c r="AG164" s="5" t="s">
        <v>89</v>
      </c>
      <c r="AH164" s="319" t="s">
        <v>19</v>
      </c>
      <c r="AI164" s="195" t="s">
        <v>87</v>
      </c>
      <c r="AJ164" s="203" t="s">
        <v>87</v>
      </c>
      <c r="AK164" s="195" t="s">
        <v>87</v>
      </c>
      <c r="AL164" s="160" t="s">
        <v>87</v>
      </c>
      <c r="AM164" s="195" t="s">
        <v>87</v>
      </c>
      <c r="AN164" s="203" t="s">
        <v>87</v>
      </c>
      <c r="AO164" s="195" t="s">
        <v>87</v>
      </c>
      <c r="AP164" s="160" t="s">
        <v>87</v>
      </c>
      <c r="AQ164" s="195" t="s">
        <v>87</v>
      </c>
      <c r="AR164" s="160" t="s">
        <v>87</v>
      </c>
      <c r="AS164" s="195" t="s">
        <v>87</v>
      </c>
      <c r="AT164" s="160" t="s">
        <v>87</v>
      </c>
      <c r="AU164" s="195" t="s">
        <v>87</v>
      </c>
      <c r="AV164" s="203" t="s">
        <v>87</v>
      </c>
      <c r="AW164" s="195" t="s">
        <v>87</v>
      </c>
      <c r="AX164" s="160" t="s">
        <v>87</v>
      </c>
      <c r="AY164" s="195" t="s">
        <v>87</v>
      </c>
      <c r="AZ164" s="160" t="s">
        <v>87</v>
      </c>
      <c r="BA164" s="195" t="s">
        <v>87</v>
      </c>
      <c r="BB164" s="160" t="s">
        <v>87</v>
      </c>
      <c r="BC164" s="195" t="s">
        <v>87</v>
      </c>
      <c r="BD164" s="160" t="s">
        <v>87</v>
      </c>
      <c r="BE164" s="195" t="s">
        <v>87</v>
      </c>
      <c r="BF164" s="160" t="s">
        <v>87</v>
      </c>
      <c r="BG164" s="187" t="s">
        <v>87</v>
      </c>
      <c r="BH164" s="160" t="s">
        <v>87</v>
      </c>
    </row>
    <row r="165" spans="26:60" x14ac:dyDescent="0.25">
      <c r="AF165" s="44" t="s">
        <v>86</v>
      </c>
      <c r="AG165" s="5" t="s">
        <v>31</v>
      </c>
      <c r="AH165" s="319" t="s">
        <v>19</v>
      </c>
      <c r="AI165" s="195" t="s">
        <v>87</v>
      </c>
      <c r="AJ165" s="203" t="s">
        <v>87</v>
      </c>
      <c r="AK165" s="195" t="s">
        <v>87</v>
      </c>
      <c r="AL165" s="160" t="s">
        <v>87</v>
      </c>
      <c r="AM165" s="195" t="s">
        <v>87</v>
      </c>
      <c r="AN165" s="203" t="s">
        <v>87</v>
      </c>
      <c r="AO165" s="195" t="s">
        <v>87</v>
      </c>
      <c r="AP165" s="160" t="s">
        <v>87</v>
      </c>
      <c r="AQ165" s="195" t="s">
        <v>87</v>
      </c>
      <c r="AR165" s="160" t="s">
        <v>87</v>
      </c>
      <c r="AS165" s="195" t="s">
        <v>87</v>
      </c>
      <c r="AT165" s="160" t="s">
        <v>87</v>
      </c>
      <c r="AU165" s="195" t="s">
        <v>87</v>
      </c>
      <c r="AV165" s="203" t="s">
        <v>87</v>
      </c>
      <c r="AW165" s="195" t="s">
        <v>87</v>
      </c>
      <c r="AX165" s="160" t="s">
        <v>87</v>
      </c>
      <c r="AY165" s="195" t="s">
        <v>87</v>
      </c>
      <c r="AZ165" s="160" t="s">
        <v>87</v>
      </c>
      <c r="BA165" s="195" t="s">
        <v>87</v>
      </c>
      <c r="BB165" s="160" t="s">
        <v>87</v>
      </c>
      <c r="BC165" s="195" t="s">
        <v>87</v>
      </c>
      <c r="BD165" s="160" t="s">
        <v>87</v>
      </c>
      <c r="BE165" s="195" t="s">
        <v>87</v>
      </c>
      <c r="BF165" s="160" t="s">
        <v>87</v>
      </c>
      <c r="BG165" s="187" t="s">
        <v>87</v>
      </c>
      <c r="BH165" s="160" t="s">
        <v>87</v>
      </c>
    </row>
    <row r="166" spans="26:60" x14ac:dyDescent="0.25">
      <c r="AC166" s="29"/>
      <c r="AD166" s="29"/>
      <c r="AE166" s="29"/>
      <c r="AF166" s="44" t="s">
        <v>86</v>
      </c>
      <c r="AG166" s="5" t="s">
        <v>32</v>
      </c>
      <c r="AH166" s="319" t="s">
        <v>19</v>
      </c>
      <c r="AI166" s="195" t="s">
        <v>87</v>
      </c>
      <c r="AJ166" s="203" t="s">
        <v>87</v>
      </c>
      <c r="AK166" s="195" t="s">
        <v>87</v>
      </c>
      <c r="AL166" s="160" t="s">
        <v>87</v>
      </c>
      <c r="AM166" s="195" t="s">
        <v>87</v>
      </c>
      <c r="AN166" s="203" t="s">
        <v>87</v>
      </c>
      <c r="AO166" s="195" t="s">
        <v>87</v>
      </c>
      <c r="AP166" s="160" t="s">
        <v>87</v>
      </c>
      <c r="AQ166" s="195" t="s">
        <v>87</v>
      </c>
      <c r="AR166" s="160" t="s">
        <v>87</v>
      </c>
      <c r="AS166" s="195" t="s">
        <v>87</v>
      </c>
      <c r="AT166" s="160" t="s">
        <v>87</v>
      </c>
      <c r="AU166" s="195" t="s">
        <v>87</v>
      </c>
      <c r="AV166" s="203" t="s">
        <v>87</v>
      </c>
      <c r="AW166" s="195" t="s">
        <v>87</v>
      </c>
      <c r="AX166" s="160" t="s">
        <v>87</v>
      </c>
      <c r="AY166" s="195" t="s">
        <v>87</v>
      </c>
      <c r="AZ166" s="160" t="s">
        <v>87</v>
      </c>
      <c r="BA166" s="195" t="s">
        <v>87</v>
      </c>
      <c r="BB166" s="160" t="s">
        <v>87</v>
      </c>
      <c r="BC166" s="195" t="s">
        <v>87</v>
      </c>
      <c r="BD166" s="160" t="s">
        <v>87</v>
      </c>
      <c r="BE166" s="195" t="s">
        <v>87</v>
      </c>
      <c r="BF166" s="160" t="s">
        <v>87</v>
      </c>
      <c r="BG166" s="187" t="s">
        <v>87</v>
      </c>
      <c r="BH166" s="160" t="s">
        <v>87</v>
      </c>
    </row>
    <row r="167" spans="26:60" ht="15.75" thickBot="1" x14ac:dyDescent="0.3">
      <c r="AF167" s="44" t="s">
        <v>86</v>
      </c>
      <c r="AG167" s="5" t="s">
        <v>88</v>
      </c>
      <c r="AH167" s="319" t="s">
        <v>19</v>
      </c>
      <c r="AI167" s="195" t="s">
        <v>87</v>
      </c>
      <c r="AJ167" s="203" t="s">
        <v>87</v>
      </c>
      <c r="AK167" s="195" t="s">
        <v>87</v>
      </c>
      <c r="AL167" s="160" t="s">
        <v>87</v>
      </c>
      <c r="AM167" s="195" t="s">
        <v>87</v>
      </c>
      <c r="AN167" s="203" t="s">
        <v>87</v>
      </c>
      <c r="AO167" s="195" t="s">
        <v>87</v>
      </c>
      <c r="AP167" s="160" t="s">
        <v>87</v>
      </c>
      <c r="AQ167" s="195" t="s">
        <v>87</v>
      </c>
      <c r="AR167" s="160" t="s">
        <v>87</v>
      </c>
      <c r="AS167" s="195" t="s">
        <v>87</v>
      </c>
      <c r="AT167" s="160" t="s">
        <v>87</v>
      </c>
      <c r="AU167" s="195" t="s">
        <v>87</v>
      </c>
      <c r="AV167" s="203" t="s">
        <v>87</v>
      </c>
      <c r="AW167" s="195" t="s">
        <v>87</v>
      </c>
      <c r="AX167" s="160" t="s">
        <v>87</v>
      </c>
      <c r="AY167" s="195" t="s">
        <v>87</v>
      </c>
      <c r="AZ167" s="160" t="s">
        <v>87</v>
      </c>
      <c r="BA167" s="195" t="s">
        <v>87</v>
      </c>
      <c r="BB167" s="160" t="s">
        <v>87</v>
      </c>
      <c r="BC167" s="195" t="s">
        <v>87</v>
      </c>
      <c r="BD167" s="160" t="s">
        <v>87</v>
      </c>
      <c r="BE167" s="195" t="s">
        <v>87</v>
      </c>
      <c r="BF167" s="160" t="s">
        <v>87</v>
      </c>
      <c r="BG167" s="187" t="s">
        <v>87</v>
      </c>
      <c r="BH167" s="160" t="s">
        <v>87</v>
      </c>
    </row>
    <row r="168" spans="26:60" ht="15.75" thickTop="1" x14ac:dyDescent="0.25">
      <c r="Z168" s="313"/>
      <c r="AA168" s="313"/>
      <c r="AB168" s="313"/>
      <c r="AC168" s="313"/>
      <c r="AD168" s="313"/>
      <c r="AE168" s="313"/>
      <c r="AF168" s="43" t="s">
        <v>71</v>
      </c>
      <c r="AG168" s="35" t="s">
        <v>89</v>
      </c>
      <c r="AH168" s="185" t="s">
        <v>20</v>
      </c>
      <c r="AI168" s="192">
        <v>7</v>
      </c>
      <c r="AJ168" s="200">
        <v>10</v>
      </c>
      <c r="AK168" s="211">
        <f>$AI168*$AT$5</f>
        <v>7.7000000000000011</v>
      </c>
      <c r="AL168" s="212">
        <f t="shared" ref="AL168:AR179" si="165">$AJ168*$AT$5</f>
        <v>11</v>
      </c>
      <c r="AM168" s="211">
        <f>$AI168*$AT$5</f>
        <v>7.7000000000000011</v>
      </c>
      <c r="AN168" s="208">
        <f t="shared" si="165"/>
        <v>11</v>
      </c>
      <c r="AO168" s="211">
        <f>$AI168*$AT$5</f>
        <v>7.7000000000000011</v>
      </c>
      <c r="AP168" s="212">
        <f t="shared" si="165"/>
        <v>11</v>
      </c>
      <c r="AQ168" s="211">
        <f>$AI168*$AT$5</f>
        <v>7.7000000000000011</v>
      </c>
      <c r="AR168" s="212">
        <f t="shared" si="165"/>
        <v>11</v>
      </c>
      <c r="AS168" s="227">
        <f>$AI168*$AV$5</f>
        <v>8.4</v>
      </c>
      <c r="AT168" s="228">
        <f t="shared" ref="AT168:AZ179" si="166">$AJ168*$AV$5</f>
        <v>12</v>
      </c>
      <c r="AU168" s="227">
        <f>$AI168*$AV$5</f>
        <v>8.4</v>
      </c>
      <c r="AV168" s="221">
        <f t="shared" si="166"/>
        <v>12</v>
      </c>
      <c r="AW168" s="227">
        <f>$AI168*$AV$5</f>
        <v>8.4</v>
      </c>
      <c r="AX168" s="228">
        <f t="shared" si="166"/>
        <v>12</v>
      </c>
      <c r="AY168" s="227">
        <f>$AI168*$AV$5</f>
        <v>8.4</v>
      </c>
      <c r="AZ168" s="228">
        <f t="shared" si="166"/>
        <v>12</v>
      </c>
      <c r="BA168" s="238">
        <f>$AI168*$AX$5</f>
        <v>9.1</v>
      </c>
      <c r="BB168" s="239">
        <f>$AJ168*$AX$5</f>
        <v>13</v>
      </c>
      <c r="BC168" s="238">
        <f>$AI168*$AX$5</f>
        <v>9.1</v>
      </c>
      <c r="BD168" s="239">
        <f>$AJ168*$AX$5</f>
        <v>13</v>
      </c>
      <c r="BE168" s="240">
        <f>$AI168*$AZ$5</f>
        <v>9.7999999999999989</v>
      </c>
      <c r="BF168" s="241">
        <f>$AJ168*$AZ$5</f>
        <v>14</v>
      </c>
      <c r="BG168" s="237">
        <f>$AI168*$BB$5</f>
        <v>10.5</v>
      </c>
      <c r="BH168" s="167">
        <f>$AJ168*$BB$5</f>
        <v>15</v>
      </c>
    </row>
    <row r="169" spans="26:60" x14ac:dyDescent="0.25">
      <c r="Z169" s="313"/>
      <c r="AA169" s="313"/>
      <c r="AB169" s="313"/>
      <c r="AC169" s="313"/>
      <c r="AD169" s="313"/>
      <c r="AE169" s="313"/>
      <c r="AF169" s="44" t="s">
        <v>71</v>
      </c>
      <c r="AG169" s="5" t="s">
        <v>31</v>
      </c>
      <c r="AH169" s="319" t="s">
        <v>20</v>
      </c>
      <c r="AI169" s="193">
        <v>10</v>
      </c>
      <c r="AJ169" s="201">
        <v>12</v>
      </c>
      <c r="AK169" s="213">
        <f t="shared" ref="AK169:AQ184" si="167">$AI169*$AT$5</f>
        <v>11</v>
      </c>
      <c r="AL169" s="214">
        <f t="shared" si="165"/>
        <v>13.200000000000001</v>
      </c>
      <c r="AM169" s="213">
        <f t="shared" si="167"/>
        <v>11</v>
      </c>
      <c r="AN169" s="209">
        <f t="shared" si="165"/>
        <v>13.200000000000001</v>
      </c>
      <c r="AO169" s="213">
        <f t="shared" si="167"/>
        <v>11</v>
      </c>
      <c r="AP169" s="214">
        <f t="shared" si="165"/>
        <v>13.200000000000001</v>
      </c>
      <c r="AQ169" s="213">
        <f t="shared" si="167"/>
        <v>11</v>
      </c>
      <c r="AR169" s="214">
        <f t="shared" si="165"/>
        <v>13.200000000000001</v>
      </c>
      <c r="AS169" s="215">
        <f t="shared" ref="AS169:AY179" si="168">$AI169*$AV$5</f>
        <v>12</v>
      </c>
      <c r="AT169" s="216">
        <f t="shared" si="166"/>
        <v>14.399999999999999</v>
      </c>
      <c r="AU169" s="215">
        <f t="shared" si="168"/>
        <v>12</v>
      </c>
      <c r="AV169" s="210">
        <f t="shared" si="166"/>
        <v>14.399999999999999</v>
      </c>
      <c r="AW169" s="215">
        <f t="shared" si="168"/>
        <v>12</v>
      </c>
      <c r="AX169" s="216">
        <f t="shared" si="166"/>
        <v>14.399999999999999</v>
      </c>
      <c r="AY169" s="215">
        <f t="shared" si="168"/>
        <v>12</v>
      </c>
      <c r="AZ169" s="216">
        <f t="shared" si="166"/>
        <v>14.399999999999999</v>
      </c>
      <c r="BA169" s="217">
        <f t="shared" ref="AU169:BC179" si="169">$AI169*$AX$5</f>
        <v>13</v>
      </c>
      <c r="BB169" s="218">
        <f t="shared" ref="AX169:BD179" si="170">$AJ169*$AX$5</f>
        <v>15.600000000000001</v>
      </c>
      <c r="BC169" s="217">
        <f t="shared" si="169"/>
        <v>13</v>
      </c>
      <c r="BD169" s="218">
        <f t="shared" si="170"/>
        <v>15.600000000000001</v>
      </c>
      <c r="BE169" s="225">
        <f t="shared" ref="AY169:BE179" si="171">$AI169*$AZ$5</f>
        <v>14</v>
      </c>
      <c r="BF169" s="226">
        <f t="shared" ref="AZ169:BF179" si="172">$AJ169*$AZ$5</f>
        <v>16.799999999999997</v>
      </c>
      <c r="BG169" s="222">
        <f t="shared" ref="BC169:BG179" si="173">$AI169*$BB$5</f>
        <v>15</v>
      </c>
      <c r="BH169" s="168">
        <f t="shared" ref="BD169:BH179" si="174">$AJ169*$BB$5</f>
        <v>18</v>
      </c>
    </row>
    <row r="170" spans="26:60" x14ac:dyDescent="0.25">
      <c r="Z170" s="313"/>
      <c r="AA170" s="313"/>
      <c r="AB170" s="313"/>
      <c r="AC170" s="313"/>
      <c r="AD170" s="313"/>
      <c r="AE170" s="313"/>
      <c r="AF170" s="44" t="s">
        <v>71</v>
      </c>
      <c r="AG170" s="5" t="s">
        <v>32</v>
      </c>
      <c r="AH170" s="319" t="s">
        <v>20</v>
      </c>
      <c r="AI170" s="193">
        <v>12</v>
      </c>
      <c r="AJ170" s="201">
        <v>14</v>
      </c>
      <c r="AK170" s="213">
        <f t="shared" si="167"/>
        <v>13.200000000000001</v>
      </c>
      <c r="AL170" s="214">
        <f t="shared" si="165"/>
        <v>15.400000000000002</v>
      </c>
      <c r="AM170" s="213">
        <f t="shared" si="167"/>
        <v>13.200000000000001</v>
      </c>
      <c r="AN170" s="209">
        <f t="shared" si="165"/>
        <v>15.400000000000002</v>
      </c>
      <c r="AO170" s="213">
        <f t="shared" si="167"/>
        <v>13.200000000000001</v>
      </c>
      <c r="AP170" s="214">
        <f t="shared" si="165"/>
        <v>15.400000000000002</v>
      </c>
      <c r="AQ170" s="213">
        <f t="shared" si="167"/>
        <v>13.200000000000001</v>
      </c>
      <c r="AR170" s="214">
        <f t="shared" si="165"/>
        <v>15.400000000000002</v>
      </c>
      <c r="AS170" s="215">
        <f t="shared" si="168"/>
        <v>14.399999999999999</v>
      </c>
      <c r="AT170" s="216">
        <f t="shared" si="166"/>
        <v>16.8</v>
      </c>
      <c r="AU170" s="215">
        <f t="shared" si="168"/>
        <v>14.399999999999999</v>
      </c>
      <c r="AV170" s="210">
        <f t="shared" si="166"/>
        <v>16.8</v>
      </c>
      <c r="AW170" s="215">
        <f t="shared" si="168"/>
        <v>14.399999999999999</v>
      </c>
      <c r="AX170" s="216">
        <f t="shared" si="166"/>
        <v>16.8</v>
      </c>
      <c r="AY170" s="215">
        <f t="shared" si="168"/>
        <v>14.399999999999999</v>
      </c>
      <c r="AZ170" s="216">
        <f t="shared" si="166"/>
        <v>16.8</v>
      </c>
      <c r="BA170" s="217">
        <f t="shared" si="169"/>
        <v>15.600000000000001</v>
      </c>
      <c r="BB170" s="218">
        <f t="shared" si="170"/>
        <v>18.2</v>
      </c>
      <c r="BC170" s="217">
        <f t="shared" si="169"/>
        <v>15.600000000000001</v>
      </c>
      <c r="BD170" s="218">
        <f t="shared" si="170"/>
        <v>18.2</v>
      </c>
      <c r="BE170" s="225">
        <f t="shared" si="171"/>
        <v>16.799999999999997</v>
      </c>
      <c r="BF170" s="226">
        <f t="shared" si="172"/>
        <v>19.599999999999998</v>
      </c>
      <c r="BG170" s="222">
        <f t="shared" si="173"/>
        <v>18</v>
      </c>
      <c r="BH170" s="168">
        <f t="shared" si="174"/>
        <v>21</v>
      </c>
    </row>
    <row r="171" spans="26:60" x14ac:dyDescent="0.25">
      <c r="Z171" s="313"/>
      <c r="AA171" s="313"/>
      <c r="AB171" s="313"/>
      <c r="AC171" s="313"/>
      <c r="AD171" s="313"/>
      <c r="AE171" s="313"/>
      <c r="AF171" s="44" t="s">
        <v>71</v>
      </c>
      <c r="AG171" s="5" t="s">
        <v>88</v>
      </c>
      <c r="AH171" s="319" t="s">
        <v>20</v>
      </c>
      <c r="AI171" s="193">
        <v>14</v>
      </c>
      <c r="AJ171" s="201">
        <v>16</v>
      </c>
      <c r="AK171" s="213">
        <f t="shared" si="167"/>
        <v>15.400000000000002</v>
      </c>
      <c r="AL171" s="214">
        <f t="shared" si="165"/>
        <v>17.600000000000001</v>
      </c>
      <c r="AM171" s="213">
        <f t="shared" si="167"/>
        <v>15.400000000000002</v>
      </c>
      <c r="AN171" s="209">
        <f t="shared" si="165"/>
        <v>17.600000000000001</v>
      </c>
      <c r="AO171" s="223">
        <f t="shared" si="167"/>
        <v>15.400000000000002</v>
      </c>
      <c r="AP171" s="224">
        <f t="shared" si="165"/>
        <v>17.600000000000001</v>
      </c>
      <c r="AQ171" s="213">
        <f t="shared" si="167"/>
        <v>15.400000000000002</v>
      </c>
      <c r="AR171" s="214">
        <f t="shared" si="165"/>
        <v>17.600000000000001</v>
      </c>
      <c r="AS171" s="215">
        <f t="shared" si="168"/>
        <v>16.8</v>
      </c>
      <c r="AT171" s="216">
        <f t="shared" si="166"/>
        <v>19.2</v>
      </c>
      <c r="AU171" s="215">
        <f t="shared" si="168"/>
        <v>16.8</v>
      </c>
      <c r="AV171" s="210">
        <f t="shared" si="166"/>
        <v>19.2</v>
      </c>
      <c r="AW171" s="215">
        <f t="shared" si="168"/>
        <v>16.8</v>
      </c>
      <c r="AX171" s="216">
        <f t="shared" si="166"/>
        <v>19.2</v>
      </c>
      <c r="AY171" s="215">
        <f t="shared" si="168"/>
        <v>16.8</v>
      </c>
      <c r="AZ171" s="216">
        <f t="shared" si="166"/>
        <v>19.2</v>
      </c>
      <c r="BA171" s="217">
        <f t="shared" si="169"/>
        <v>18.2</v>
      </c>
      <c r="BB171" s="218">
        <f t="shared" si="170"/>
        <v>20.8</v>
      </c>
      <c r="BC171" s="217">
        <f t="shared" si="169"/>
        <v>18.2</v>
      </c>
      <c r="BD171" s="218">
        <f t="shared" si="170"/>
        <v>20.8</v>
      </c>
      <c r="BE171" s="225">
        <f t="shared" si="171"/>
        <v>19.599999999999998</v>
      </c>
      <c r="BF171" s="226">
        <f t="shared" si="172"/>
        <v>22.4</v>
      </c>
      <c r="BG171" s="222">
        <f t="shared" si="173"/>
        <v>21</v>
      </c>
      <c r="BH171" s="168">
        <f t="shared" si="174"/>
        <v>24</v>
      </c>
    </row>
    <row r="172" spans="26:60" x14ac:dyDescent="0.25">
      <c r="Z172" s="313"/>
      <c r="AA172" s="313"/>
      <c r="AB172" s="313"/>
      <c r="AC172" s="313"/>
      <c r="AD172" s="313"/>
      <c r="AE172" s="313"/>
      <c r="AF172" s="44" t="s">
        <v>94</v>
      </c>
      <c r="AG172" s="5" t="s">
        <v>89</v>
      </c>
      <c r="AH172" s="319" t="s">
        <v>20</v>
      </c>
      <c r="AI172" s="193">
        <v>10</v>
      </c>
      <c r="AJ172" s="201">
        <v>12</v>
      </c>
      <c r="AK172" s="213">
        <f t="shared" si="167"/>
        <v>11</v>
      </c>
      <c r="AL172" s="214">
        <f t="shared" si="165"/>
        <v>13.200000000000001</v>
      </c>
      <c r="AM172" s="213">
        <f t="shared" si="167"/>
        <v>11</v>
      </c>
      <c r="AN172" s="209">
        <f t="shared" si="165"/>
        <v>13.200000000000001</v>
      </c>
      <c r="AO172" s="215">
        <f>$AI172*$AV$5</f>
        <v>12</v>
      </c>
      <c r="AP172" s="216">
        <f t="shared" ref="AL172:AR187" si="175">$AJ172*$AV$5</f>
        <v>14.399999999999999</v>
      </c>
      <c r="AQ172" s="215">
        <f>$AI172*$AV$5</f>
        <v>12</v>
      </c>
      <c r="AR172" s="216">
        <f t="shared" si="175"/>
        <v>14.399999999999999</v>
      </c>
      <c r="AS172" s="215">
        <f t="shared" si="168"/>
        <v>12</v>
      </c>
      <c r="AT172" s="216">
        <f t="shared" si="166"/>
        <v>14.399999999999999</v>
      </c>
      <c r="AU172" s="215">
        <f t="shared" si="168"/>
        <v>12</v>
      </c>
      <c r="AV172" s="210">
        <f t="shared" si="166"/>
        <v>14.399999999999999</v>
      </c>
      <c r="AW172" s="215">
        <f t="shared" si="168"/>
        <v>12</v>
      </c>
      <c r="AX172" s="216">
        <f t="shared" si="166"/>
        <v>14.399999999999999</v>
      </c>
      <c r="AY172" s="217">
        <f t="shared" si="169"/>
        <v>13</v>
      </c>
      <c r="AZ172" s="218">
        <f t="shared" si="170"/>
        <v>15.600000000000001</v>
      </c>
      <c r="BA172" s="217">
        <f t="shared" si="169"/>
        <v>13</v>
      </c>
      <c r="BB172" s="218">
        <f t="shared" si="170"/>
        <v>15.600000000000001</v>
      </c>
      <c r="BC172" s="225">
        <f t="shared" si="171"/>
        <v>14</v>
      </c>
      <c r="BD172" s="226">
        <f t="shared" si="172"/>
        <v>16.799999999999997</v>
      </c>
      <c r="BE172" s="229">
        <f t="shared" si="173"/>
        <v>15</v>
      </c>
      <c r="BF172" s="230">
        <f t="shared" si="174"/>
        <v>18</v>
      </c>
      <c r="BG172" s="176" t="s">
        <v>153</v>
      </c>
      <c r="BH172" s="164" t="s">
        <v>153</v>
      </c>
    </row>
    <row r="173" spans="26:60" x14ac:dyDescent="0.25">
      <c r="Z173" s="315"/>
      <c r="AA173" s="313"/>
      <c r="AB173" s="313"/>
      <c r="AC173" s="313"/>
      <c r="AD173" s="313"/>
      <c r="AE173" s="313"/>
      <c r="AF173" s="44" t="s">
        <v>94</v>
      </c>
      <c r="AG173" s="5" t="s">
        <v>31</v>
      </c>
      <c r="AH173" s="319" t="s">
        <v>20</v>
      </c>
      <c r="AI173" s="193">
        <v>14</v>
      </c>
      <c r="AJ173" s="201">
        <v>16</v>
      </c>
      <c r="AK173" s="213">
        <f t="shared" si="167"/>
        <v>15.400000000000002</v>
      </c>
      <c r="AL173" s="214">
        <f t="shared" si="165"/>
        <v>17.600000000000001</v>
      </c>
      <c r="AM173" s="213">
        <f t="shared" si="167"/>
        <v>15.400000000000002</v>
      </c>
      <c r="AN173" s="209">
        <f t="shared" si="165"/>
        <v>17.600000000000001</v>
      </c>
      <c r="AO173" s="215">
        <f t="shared" ref="AO173:AO179" si="176">$AI173*$AV$5</f>
        <v>16.8</v>
      </c>
      <c r="AP173" s="216">
        <f t="shared" si="175"/>
        <v>19.2</v>
      </c>
      <c r="AQ173" s="215">
        <f t="shared" ref="AQ173:AQ179" si="177">$AI173*$AV$5</f>
        <v>16.8</v>
      </c>
      <c r="AR173" s="216">
        <f t="shared" si="175"/>
        <v>19.2</v>
      </c>
      <c r="AS173" s="215">
        <f t="shared" si="168"/>
        <v>16.8</v>
      </c>
      <c r="AT173" s="216">
        <f t="shared" si="166"/>
        <v>19.2</v>
      </c>
      <c r="AU173" s="215">
        <f t="shared" si="168"/>
        <v>16.8</v>
      </c>
      <c r="AV173" s="210">
        <f t="shared" si="166"/>
        <v>19.2</v>
      </c>
      <c r="AW173" s="215">
        <f t="shared" si="168"/>
        <v>16.8</v>
      </c>
      <c r="AX173" s="216">
        <f t="shared" si="166"/>
        <v>19.2</v>
      </c>
      <c r="AY173" s="217">
        <f t="shared" si="169"/>
        <v>18.2</v>
      </c>
      <c r="AZ173" s="218">
        <f t="shared" si="170"/>
        <v>20.8</v>
      </c>
      <c r="BA173" s="217">
        <f t="shared" si="169"/>
        <v>18.2</v>
      </c>
      <c r="BB173" s="218">
        <f t="shared" si="170"/>
        <v>20.8</v>
      </c>
      <c r="BC173" s="225">
        <f t="shared" si="171"/>
        <v>19.599999999999998</v>
      </c>
      <c r="BD173" s="226">
        <f t="shared" si="172"/>
        <v>22.4</v>
      </c>
      <c r="BE173" s="229">
        <f t="shared" si="173"/>
        <v>21</v>
      </c>
      <c r="BF173" s="230">
        <f t="shared" si="174"/>
        <v>24</v>
      </c>
      <c r="BG173" s="176" t="s">
        <v>153</v>
      </c>
      <c r="BH173" s="164" t="s">
        <v>153</v>
      </c>
    </row>
    <row r="174" spans="26:60" x14ac:dyDescent="0.25">
      <c r="Z174" s="315"/>
      <c r="AA174" s="313"/>
      <c r="AB174" s="313"/>
      <c r="AC174" s="313"/>
      <c r="AD174" s="313"/>
      <c r="AE174" s="313"/>
      <c r="AF174" s="44" t="s">
        <v>94</v>
      </c>
      <c r="AG174" s="5" t="s">
        <v>32</v>
      </c>
      <c r="AH174" s="319" t="s">
        <v>20</v>
      </c>
      <c r="AI174" s="193">
        <v>16</v>
      </c>
      <c r="AJ174" s="201">
        <v>18</v>
      </c>
      <c r="AK174" s="213">
        <f t="shared" si="167"/>
        <v>17.600000000000001</v>
      </c>
      <c r="AL174" s="214">
        <f t="shared" si="165"/>
        <v>19.8</v>
      </c>
      <c r="AM174" s="213">
        <f t="shared" si="167"/>
        <v>17.600000000000001</v>
      </c>
      <c r="AN174" s="209">
        <f t="shared" si="165"/>
        <v>19.8</v>
      </c>
      <c r="AO174" s="215">
        <f t="shared" si="176"/>
        <v>19.2</v>
      </c>
      <c r="AP174" s="216">
        <f t="shared" si="175"/>
        <v>21.599999999999998</v>
      </c>
      <c r="AQ174" s="215">
        <f t="shared" si="177"/>
        <v>19.2</v>
      </c>
      <c r="AR174" s="216">
        <f t="shared" si="175"/>
        <v>21.599999999999998</v>
      </c>
      <c r="AS174" s="215">
        <f t="shared" si="168"/>
        <v>19.2</v>
      </c>
      <c r="AT174" s="216">
        <f t="shared" si="166"/>
        <v>21.599999999999998</v>
      </c>
      <c r="AU174" s="215">
        <f t="shared" si="168"/>
        <v>19.2</v>
      </c>
      <c r="AV174" s="210">
        <f t="shared" si="166"/>
        <v>21.599999999999998</v>
      </c>
      <c r="AW174" s="215">
        <f t="shared" si="168"/>
        <v>19.2</v>
      </c>
      <c r="AX174" s="216">
        <f t="shared" si="166"/>
        <v>21.599999999999998</v>
      </c>
      <c r="AY174" s="217">
        <f t="shared" si="169"/>
        <v>20.8</v>
      </c>
      <c r="AZ174" s="218">
        <f t="shared" si="170"/>
        <v>23.400000000000002</v>
      </c>
      <c r="BA174" s="217">
        <f t="shared" si="169"/>
        <v>20.8</v>
      </c>
      <c r="BB174" s="218">
        <f t="shared" si="170"/>
        <v>23.400000000000002</v>
      </c>
      <c r="BC174" s="225">
        <f t="shared" si="171"/>
        <v>22.4</v>
      </c>
      <c r="BD174" s="226">
        <f t="shared" si="172"/>
        <v>25.2</v>
      </c>
      <c r="BE174" s="229">
        <f t="shared" si="173"/>
        <v>24</v>
      </c>
      <c r="BF174" s="230">
        <f t="shared" si="174"/>
        <v>27</v>
      </c>
      <c r="BG174" s="176" t="s">
        <v>153</v>
      </c>
      <c r="BH174" s="164" t="s">
        <v>153</v>
      </c>
    </row>
    <row r="175" spans="26:60" x14ac:dyDescent="0.25">
      <c r="Z175" s="315"/>
      <c r="AA175" s="313"/>
      <c r="AB175" s="313"/>
      <c r="AC175" s="313"/>
      <c r="AD175" s="313"/>
      <c r="AE175" s="313"/>
      <c r="AF175" s="44" t="s">
        <v>94</v>
      </c>
      <c r="AG175" s="5" t="s">
        <v>88</v>
      </c>
      <c r="AH175" s="319" t="s">
        <v>20</v>
      </c>
      <c r="AI175" s="193">
        <v>20</v>
      </c>
      <c r="AJ175" s="201">
        <v>22</v>
      </c>
      <c r="AK175" s="213">
        <f t="shared" si="167"/>
        <v>22</v>
      </c>
      <c r="AL175" s="214">
        <f t="shared" si="165"/>
        <v>24.200000000000003</v>
      </c>
      <c r="AM175" s="213">
        <f t="shared" si="167"/>
        <v>22</v>
      </c>
      <c r="AN175" s="209">
        <f t="shared" si="165"/>
        <v>24.200000000000003</v>
      </c>
      <c r="AO175" s="215">
        <f t="shared" si="176"/>
        <v>24</v>
      </c>
      <c r="AP175" s="216">
        <f t="shared" si="175"/>
        <v>26.4</v>
      </c>
      <c r="AQ175" s="215">
        <f t="shared" si="177"/>
        <v>24</v>
      </c>
      <c r="AR175" s="216">
        <f t="shared" si="175"/>
        <v>26.4</v>
      </c>
      <c r="AS175" s="215">
        <f t="shared" si="168"/>
        <v>24</v>
      </c>
      <c r="AT175" s="216">
        <f t="shared" si="166"/>
        <v>26.4</v>
      </c>
      <c r="AU175" s="215">
        <f t="shared" si="168"/>
        <v>24</v>
      </c>
      <c r="AV175" s="210">
        <f t="shared" si="166"/>
        <v>26.4</v>
      </c>
      <c r="AW175" s="215">
        <f t="shared" si="168"/>
        <v>24</v>
      </c>
      <c r="AX175" s="216">
        <f t="shared" si="166"/>
        <v>26.4</v>
      </c>
      <c r="AY175" s="217">
        <f t="shared" si="169"/>
        <v>26</v>
      </c>
      <c r="AZ175" s="218">
        <f t="shared" si="170"/>
        <v>28.6</v>
      </c>
      <c r="BA175" s="217">
        <f t="shared" si="169"/>
        <v>26</v>
      </c>
      <c r="BB175" s="218">
        <f t="shared" si="170"/>
        <v>28.6</v>
      </c>
      <c r="BC175" s="225">
        <f t="shared" si="171"/>
        <v>28</v>
      </c>
      <c r="BD175" s="226">
        <f t="shared" si="172"/>
        <v>30.799999999999997</v>
      </c>
      <c r="BE175" s="229">
        <f t="shared" si="173"/>
        <v>30</v>
      </c>
      <c r="BF175" s="230">
        <f t="shared" si="174"/>
        <v>33</v>
      </c>
      <c r="BG175" s="176" t="s">
        <v>153</v>
      </c>
      <c r="BH175" s="164" t="s">
        <v>153</v>
      </c>
    </row>
    <row r="176" spans="26:60" x14ac:dyDescent="0.25">
      <c r="Z176" s="315"/>
      <c r="AA176" s="313"/>
      <c r="AB176" s="313"/>
      <c r="AC176" s="313"/>
      <c r="AD176" s="313"/>
      <c r="AE176" s="313"/>
      <c r="AF176" s="44" t="s">
        <v>95</v>
      </c>
      <c r="AG176" s="5" t="s">
        <v>89</v>
      </c>
      <c r="AH176" s="319" t="s">
        <v>20</v>
      </c>
      <c r="AI176" s="193">
        <v>10</v>
      </c>
      <c r="AJ176" s="201">
        <v>12</v>
      </c>
      <c r="AK176" s="213">
        <f t="shared" si="167"/>
        <v>11</v>
      </c>
      <c r="AL176" s="214">
        <f t="shared" si="165"/>
        <v>13.200000000000001</v>
      </c>
      <c r="AM176" s="215">
        <f>$AI176*$AV$5</f>
        <v>12</v>
      </c>
      <c r="AN176" s="210">
        <f t="shared" si="175"/>
        <v>14.399999999999999</v>
      </c>
      <c r="AO176" s="215">
        <f t="shared" si="176"/>
        <v>12</v>
      </c>
      <c r="AP176" s="216">
        <f t="shared" si="175"/>
        <v>14.399999999999999</v>
      </c>
      <c r="AQ176" s="215">
        <f t="shared" si="177"/>
        <v>12</v>
      </c>
      <c r="AR176" s="216">
        <f t="shared" si="175"/>
        <v>14.399999999999999</v>
      </c>
      <c r="AS176" s="215">
        <f t="shared" si="168"/>
        <v>12</v>
      </c>
      <c r="AT176" s="216">
        <f t="shared" si="166"/>
        <v>14.399999999999999</v>
      </c>
      <c r="AU176" s="217">
        <f t="shared" si="169"/>
        <v>13</v>
      </c>
      <c r="AV176" s="219">
        <f t="shared" ref="AR176:AV191" si="178">$AJ176*$AX$5</f>
        <v>15.600000000000001</v>
      </c>
      <c r="AW176" s="217">
        <f t="shared" si="169"/>
        <v>13</v>
      </c>
      <c r="AX176" s="218">
        <f t="shared" si="170"/>
        <v>15.600000000000001</v>
      </c>
      <c r="AY176" s="225">
        <f t="shared" si="171"/>
        <v>14</v>
      </c>
      <c r="AZ176" s="226">
        <f t="shared" si="172"/>
        <v>16.799999999999997</v>
      </c>
      <c r="BA176" s="225">
        <f t="shared" si="171"/>
        <v>14</v>
      </c>
      <c r="BB176" s="226">
        <f t="shared" si="172"/>
        <v>16.799999999999997</v>
      </c>
      <c r="BC176" s="229">
        <f t="shared" si="173"/>
        <v>15</v>
      </c>
      <c r="BD176" s="230">
        <f t="shared" si="174"/>
        <v>18</v>
      </c>
      <c r="BE176" s="231" t="s">
        <v>153</v>
      </c>
      <c r="BF176" s="232" t="s">
        <v>153</v>
      </c>
      <c r="BG176" s="176" t="s">
        <v>153</v>
      </c>
      <c r="BH176" s="164" t="s">
        <v>153</v>
      </c>
    </row>
    <row r="177" spans="26:60" x14ac:dyDescent="0.25">
      <c r="Z177" s="315"/>
      <c r="AA177" s="313"/>
      <c r="AB177" s="313"/>
      <c r="AC177" s="313"/>
      <c r="AD177" s="313"/>
      <c r="AE177" s="313"/>
      <c r="AF177" s="44" t="s">
        <v>95</v>
      </c>
      <c r="AG177" s="5" t="s">
        <v>31</v>
      </c>
      <c r="AH177" s="319" t="s">
        <v>20</v>
      </c>
      <c r="AI177" s="193">
        <v>14</v>
      </c>
      <c r="AJ177" s="201">
        <v>16</v>
      </c>
      <c r="AK177" s="213">
        <f t="shared" si="167"/>
        <v>15.400000000000002</v>
      </c>
      <c r="AL177" s="214">
        <f t="shared" si="165"/>
        <v>17.600000000000001</v>
      </c>
      <c r="AM177" s="215">
        <f t="shared" ref="AM177:AM191" si="179">$AI177*$AV$5</f>
        <v>16.8</v>
      </c>
      <c r="AN177" s="210">
        <f t="shared" si="175"/>
        <v>19.2</v>
      </c>
      <c r="AO177" s="215">
        <f t="shared" si="176"/>
        <v>16.8</v>
      </c>
      <c r="AP177" s="216">
        <f t="shared" si="175"/>
        <v>19.2</v>
      </c>
      <c r="AQ177" s="215">
        <f t="shared" si="177"/>
        <v>16.8</v>
      </c>
      <c r="AR177" s="216">
        <f t="shared" si="175"/>
        <v>19.2</v>
      </c>
      <c r="AS177" s="215">
        <f t="shared" si="168"/>
        <v>16.8</v>
      </c>
      <c r="AT177" s="216">
        <f t="shared" si="166"/>
        <v>19.2</v>
      </c>
      <c r="AU177" s="217">
        <f t="shared" si="169"/>
        <v>18.2</v>
      </c>
      <c r="AV177" s="219">
        <f t="shared" si="178"/>
        <v>20.8</v>
      </c>
      <c r="AW177" s="217">
        <f t="shared" si="169"/>
        <v>18.2</v>
      </c>
      <c r="AX177" s="218">
        <f t="shared" si="170"/>
        <v>20.8</v>
      </c>
      <c r="AY177" s="225">
        <f t="shared" si="171"/>
        <v>19.599999999999998</v>
      </c>
      <c r="AZ177" s="226">
        <f t="shared" si="172"/>
        <v>22.4</v>
      </c>
      <c r="BA177" s="225">
        <f t="shared" si="171"/>
        <v>19.599999999999998</v>
      </c>
      <c r="BB177" s="226">
        <f t="shared" si="172"/>
        <v>22.4</v>
      </c>
      <c r="BC177" s="229">
        <f t="shared" si="173"/>
        <v>21</v>
      </c>
      <c r="BD177" s="230">
        <f t="shared" si="174"/>
        <v>24</v>
      </c>
      <c r="BE177" s="231" t="s">
        <v>153</v>
      </c>
      <c r="BF177" s="232" t="s">
        <v>153</v>
      </c>
      <c r="BG177" s="176" t="s">
        <v>153</v>
      </c>
      <c r="BH177" s="164" t="s">
        <v>153</v>
      </c>
    </row>
    <row r="178" spans="26:60" x14ac:dyDescent="0.25">
      <c r="Z178" s="315"/>
      <c r="AA178" s="313"/>
      <c r="AB178" s="313"/>
      <c r="AC178" s="313"/>
      <c r="AD178" s="313"/>
      <c r="AE178" s="313"/>
      <c r="AF178" s="44" t="s">
        <v>95</v>
      </c>
      <c r="AG178" s="5" t="s">
        <v>32</v>
      </c>
      <c r="AH178" s="319" t="s">
        <v>20</v>
      </c>
      <c r="AI178" s="193">
        <v>16</v>
      </c>
      <c r="AJ178" s="201">
        <v>18</v>
      </c>
      <c r="AK178" s="213">
        <f t="shared" si="167"/>
        <v>17.600000000000001</v>
      </c>
      <c r="AL178" s="214">
        <f t="shared" si="165"/>
        <v>19.8</v>
      </c>
      <c r="AM178" s="215">
        <f t="shared" si="179"/>
        <v>19.2</v>
      </c>
      <c r="AN178" s="210">
        <f t="shared" si="175"/>
        <v>21.599999999999998</v>
      </c>
      <c r="AO178" s="215">
        <f t="shared" si="176"/>
        <v>19.2</v>
      </c>
      <c r="AP178" s="216">
        <f t="shared" si="175"/>
        <v>21.599999999999998</v>
      </c>
      <c r="AQ178" s="215">
        <f t="shared" si="177"/>
        <v>19.2</v>
      </c>
      <c r="AR178" s="216">
        <f t="shared" si="175"/>
        <v>21.599999999999998</v>
      </c>
      <c r="AS178" s="215">
        <f t="shared" si="168"/>
        <v>19.2</v>
      </c>
      <c r="AT178" s="216">
        <f t="shared" si="166"/>
        <v>21.599999999999998</v>
      </c>
      <c r="AU178" s="217">
        <f t="shared" si="169"/>
        <v>20.8</v>
      </c>
      <c r="AV178" s="219">
        <f t="shared" si="178"/>
        <v>23.400000000000002</v>
      </c>
      <c r="AW178" s="217">
        <f t="shared" si="169"/>
        <v>20.8</v>
      </c>
      <c r="AX178" s="218">
        <f t="shared" si="170"/>
        <v>23.400000000000002</v>
      </c>
      <c r="AY178" s="225">
        <f t="shared" si="171"/>
        <v>22.4</v>
      </c>
      <c r="AZ178" s="226">
        <f t="shared" si="172"/>
        <v>25.2</v>
      </c>
      <c r="BA178" s="225">
        <f t="shared" si="171"/>
        <v>22.4</v>
      </c>
      <c r="BB178" s="226">
        <f t="shared" si="172"/>
        <v>25.2</v>
      </c>
      <c r="BC178" s="229">
        <f t="shared" si="173"/>
        <v>24</v>
      </c>
      <c r="BD178" s="230">
        <f t="shared" si="174"/>
        <v>27</v>
      </c>
      <c r="BE178" s="231" t="s">
        <v>153</v>
      </c>
      <c r="BF178" s="232" t="s">
        <v>153</v>
      </c>
      <c r="BG178" s="176" t="s">
        <v>153</v>
      </c>
      <c r="BH178" s="164" t="s">
        <v>153</v>
      </c>
    </row>
    <row r="179" spans="26:60" x14ac:dyDescent="0.25">
      <c r="Z179" s="315"/>
      <c r="AA179" s="313"/>
      <c r="AB179" s="313"/>
      <c r="AC179" s="313"/>
      <c r="AD179" s="313"/>
      <c r="AE179" s="313"/>
      <c r="AF179" s="44" t="s">
        <v>95</v>
      </c>
      <c r="AG179" s="5" t="s">
        <v>88</v>
      </c>
      <c r="AH179" s="319" t="s">
        <v>20</v>
      </c>
      <c r="AI179" s="193">
        <v>20</v>
      </c>
      <c r="AJ179" s="201">
        <v>22</v>
      </c>
      <c r="AK179" s="213">
        <f t="shared" si="167"/>
        <v>22</v>
      </c>
      <c r="AL179" s="214">
        <f t="shared" si="165"/>
        <v>24.200000000000003</v>
      </c>
      <c r="AM179" s="215">
        <f t="shared" si="179"/>
        <v>24</v>
      </c>
      <c r="AN179" s="210">
        <f t="shared" si="175"/>
        <v>26.4</v>
      </c>
      <c r="AO179" s="215">
        <f t="shared" si="176"/>
        <v>24</v>
      </c>
      <c r="AP179" s="216">
        <f t="shared" si="175"/>
        <v>26.4</v>
      </c>
      <c r="AQ179" s="215">
        <f t="shared" si="177"/>
        <v>24</v>
      </c>
      <c r="AR179" s="216">
        <f t="shared" si="175"/>
        <v>26.4</v>
      </c>
      <c r="AS179" s="215">
        <f t="shared" si="168"/>
        <v>24</v>
      </c>
      <c r="AT179" s="216">
        <f t="shared" si="166"/>
        <v>26.4</v>
      </c>
      <c r="AU179" s="217">
        <f t="shared" si="169"/>
        <v>26</v>
      </c>
      <c r="AV179" s="219">
        <f t="shared" si="178"/>
        <v>28.6</v>
      </c>
      <c r="AW179" s="217">
        <f t="shared" si="169"/>
        <v>26</v>
      </c>
      <c r="AX179" s="218">
        <f t="shared" si="170"/>
        <v>28.6</v>
      </c>
      <c r="AY179" s="225">
        <f t="shared" si="171"/>
        <v>28</v>
      </c>
      <c r="AZ179" s="226">
        <f t="shared" si="172"/>
        <v>30.799999999999997</v>
      </c>
      <c r="BA179" s="225">
        <f t="shared" si="171"/>
        <v>28</v>
      </c>
      <c r="BB179" s="226">
        <f t="shared" si="172"/>
        <v>30.799999999999997</v>
      </c>
      <c r="BC179" s="229">
        <f t="shared" si="173"/>
        <v>30</v>
      </c>
      <c r="BD179" s="230">
        <f t="shared" si="174"/>
        <v>33</v>
      </c>
      <c r="BE179" s="231" t="s">
        <v>153</v>
      </c>
      <c r="BF179" s="232" t="s">
        <v>153</v>
      </c>
      <c r="BG179" s="176" t="s">
        <v>153</v>
      </c>
      <c r="BH179" s="164" t="s">
        <v>153</v>
      </c>
    </row>
    <row r="180" spans="26:60" x14ac:dyDescent="0.25">
      <c r="Z180" s="315"/>
      <c r="AA180" s="313"/>
      <c r="AB180" s="313"/>
      <c r="AC180" s="313"/>
      <c r="AD180" s="313"/>
      <c r="AE180" s="313"/>
      <c r="AF180" s="44" t="s">
        <v>74</v>
      </c>
      <c r="AG180" s="5" t="s">
        <v>89</v>
      </c>
      <c r="AH180" s="319" t="s">
        <v>20</v>
      </c>
      <c r="AI180" s="193">
        <v>10</v>
      </c>
      <c r="AJ180" s="201">
        <v>12</v>
      </c>
      <c r="AK180" s="215">
        <f>$AI180*$AV$5</f>
        <v>12</v>
      </c>
      <c r="AL180" s="216">
        <f t="shared" si="175"/>
        <v>14.399999999999999</v>
      </c>
      <c r="AM180" s="215">
        <f t="shared" si="179"/>
        <v>12</v>
      </c>
      <c r="AN180" s="210">
        <f t="shared" si="175"/>
        <v>14.399999999999999</v>
      </c>
      <c r="AO180" s="215">
        <f t="shared" si="167"/>
        <v>11</v>
      </c>
      <c r="AP180" s="216">
        <f t="shared" si="175"/>
        <v>14.399999999999999</v>
      </c>
      <c r="AQ180" s="217">
        <f t="shared" ref="AQ180:AU191" si="180">$AI180*$AX$5</f>
        <v>13</v>
      </c>
      <c r="AR180" s="218">
        <f t="shared" si="178"/>
        <v>15.600000000000001</v>
      </c>
      <c r="AS180" s="217">
        <f t="shared" si="180"/>
        <v>13</v>
      </c>
      <c r="AT180" s="218">
        <f t="shared" si="178"/>
        <v>15.600000000000001</v>
      </c>
      <c r="AU180" s="217">
        <f t="shared" si="180"/>
        <v>13</v>
      </c>
      <c r="AV180" s="219">
        <f t="shared" si="178"/>
        <v>15.600000000000001</v>
      </c>
      <c r="AW180" s="225">
        <f t="shared" ref="AW180:AW183" si="181">$AI180*$AZ$5</f>
        <v>14</v>
      </c>
      <c r="AX180" s="226">
        <f t="shared" ref="AX180:AX183" si="182">$AJ180*$AZ$5</f>
        <v>16.799999999999997</v>
      </c>
      <c r="AY180" s="229">
        <f t="shared" ref="AW180:AY187" si="183">$AI180*$BB$5</f>
        <v>15</v>
      </c>
      <c r="AZ180" s="230">
        <f t="shared" ref="AX180:AZ187" si="184">$AJ180*$BB$5</f>
        <v>18</v>
      </c>
      <c r="BA180" s="229">
        <f t="shared" ref="BA180:BA187" si="185">$AI180*$BB$5</f>
        <v>15</v>
      </c>
      <c r="BB180" s="230">
        <f t="shared" ref="BB180:BB187" si="186">$AJ180*$BB$5</f>
        <v>18</v>
      </c>
      <c r="BC180" s="231" t="s">
        <v>153</v>
      </c>
      <c r="BD180" s="232" t="s">
        <v>153</v>
      </c>
      <c r="BE180" s="231" t="s">
        <v>153</v>
      </c>
      <c r="BF180" s="232" t="s">
        <v>153</v>
      </c>
      <c r="BG180" s="176" t="s">
        <v>153</v>
      </c>
      <c r="BH180" s="164" t="s">
        <v>153</v>
      </c>
    </row>
    <row r="181" spans="26:60" x14ac:dyDescent="0.25">
      <c r="Z181" s="315"/>
      <c r="AA181" s="313"/>
      <c r="AB181" s="313"/>
      <c r="AC181" s="313"/>
      <c r="AD181" s="313"/>
      <c r="AE181" s="313"/>
      <c r="AF181" s="44" t="s">
        <v>74</v>
      </c>
      <c r="AG181" s="5" t="s">
        <v>31</v>
      </c>
      <c r="AH181" s="319" t="s">
        <v>20</v>
      </c>
      <c r="AI181" s="193">
        <v>16</v>
      </c>
      <c r="AJ181" s="201">
        <v>18</v>
      </c>
      <c r="AK181" s="215">
        <f t="shared" ref="AK181:AK195" si="187">$AI181*$AV$5</f>
        <v>19.2</v>
      </c>
      <c r="AL181" s="216">
        <f t="shared" si="175"/>
        <v>21.599999999999998</v>
      </c>
      <c r="AM181" s="215">
        <f t="shared" si="179"/>
        <v>19.2</v>
      </c>
      <c r="AN181" s="210">
        <f t="shared" si="175"/>
        <v>21.599999999999998</v>
      </c>
      <c r="AO181" s="215">
        <f t="shared" si="167"/>
        <v>17.600000000000001</v>
      </c>
      <c r="AP181" s="216">
        <f t="shared" si="175"/>
        <v>21.599999999999998</v>
      </c>
      <c r="AQ181" s="217">
        <f t="shared" si="180"/>
        <v>20.8</v>
      </c>
      <c r="AR181" s="218">
        <f t="shared" si="178"/>
        <v>23.400000000000002</v>
      </c>
      <c r="AS181" s="217">
        <f t="shared" si="180"/>
        <v>20.8</v>
      </c>
      <c r="AT181" s="218">
        <f t="shared" si="178"/>
        <v>23.400000000000002</v>
      </c>
      <c r="AU181" s="217">
        <f t="shared" si="180"/>
        <v>20.8</v>
      </c>
      <c r="AV181" s="219">
        <f t="shared" si="178"/>
        <v>23.400000000000002</v>
      </c>
      <c r="AW181" s="225">
        <f t="shared" si="181"/>
        <v>22.4</v>
      </c>
      <c r="AX181" s="226">
        <f t="shared" si="182"/>
        <v>25.2</v>
      </c>
      <c r="AY181" s="229">
        <f t="shared" si="183"/>
        <v>24</v>
      </c>
      <c r="AZ181" s="230">
        <f t="shared" si="184"/>
        <v>27</v>
      </c>
      <c r="BA181" s="229">
        <f t="shared" si="185"/>
        <v>24</v>
      </c>
      <c r="BB181" s="230">
        <f t="shared" si="186"/>
        <v>27</v>
      </c>
      <c r="BC181" s="231" t="s">
        <v>153</v>
      </c>
      <c r="BD181" s="232" t="s">
        <v>153</v>
      </c>
      <c r="BE181" s="231" t="s">
        <v>153</v>
      </c>
      <c r="BF181" s="232" t="s">
        <v>153</v>
      </c>
      <c r="BG181" s="176" t="s">
        <v>153</v>
      </c>
      <c r="BH181" s="164" t="s">
        <v>153</v>
      </c>
    </row>
    <row r="182" spans="26:60" x14ac:dyDescent="0.25">
      <c r="Z182" s="315"/>
      <c r="AA182" s="313"/>
      <c r="AB182" s="313"/>
      <c r="AC182" s="313"/>
      <c r="AD182" s="313"/>
      <c r="AE182" s="313"/>
      <c r="AF182" s="44" t="s">
        <v>74</v>
      </c>
      <c r="AG182" s="5" t="s">
        <v>32</v>
      </c>
      <c r="AH182" s="319" t="s">
        <v>20</v>
      </c>
      <c r="AI182" s="193">
        <v>20</v>
      </c>
      <c r="AJ182" s="201">
        <v>22</v>
      </c>
      <c r="AK182" s="215">
        <f t="shared" si="187"/>
        <v>24</v>
      </c>
      <c r="AL182" s="216">
        <f t="shared" si="175"/>
        <v>26.4</v>
      </c>
      <c r="AM182" s="215">
        <f t="shared" si="179"/>
        <v>24</v>
      </c>
      <c r="AN182" s="210">
        <f t="shared" si="175"/>
        <v>26.4</v>
      </c>
      <c r="AO182" s="215">
        <f t="shared" si="167"/>
        <v>22</v>
      </c>
      <c r="AP182" s="216">
        <f t="shared" si="175"/>
        <v>26.4</v>
      </c>
      <c r="AQ182" s="217">
        <f t="shared" si="180"/>
        <v>26</v>
      </c>
      <c r="AR182" s="218">
        <f t="shared" si="178"/>
        <v>28.6</v>
      </c>
      <c r="AS182" s="217">
        <f t="shared" si="180"/>
        <v>26</v>
      </c>
      <c r="AT182" s="218">
        <f t="shared" si="178"/>
        <v>28.6</v>
      </c>
      <c r="AU182" s="217">
        <f t="shared" si="180"/>
        <v>26</v>
      </c>
      <c r="AV182" s="219">
        <f t="shared" si="178"/>
        <v>28.6</v>
      </c>
      <c r="AW182" s="225">
        <f t="shared" si="181"/>
        <v>28</v>
      </c>
      <c r="AX182" s="226">
        <f t="shared" si="182"/>
        <v>30.799999999999997</v>
      </c>
      <c r="AY182" s="229">
        <f t="shared" si="183"/>
        <v>30</v>
      </c>
      <c r="AZ182" s="230">
        <f t="shared" si="184"/>
        <v>33</v>
      </c>
      <c r="BA182" s="229">
        <f t="shared" si="185"/>
        <v>30</v>
      </c>
      <c r="BB182" s="230">
        <f t="shared" si="186"/>
        <v>33</v>
      </c>
      <c r="BC182" s="231" t="s">
        <v>153</v>
      </c>
      <c r="BD182" s="232" t="s">
        <v>153</v>
      </c>
      <c r="BE182" s="231" t="s">
        <v>153</v>
      </c>
      <c r="BF182" s="232" t="s">
        <v>153</v>
      </c>
      <c r="BG182" s="176" t="s">
        <v>153</v>
      </c>
      <c r="BH182" s="164" t="s">
        <v>153</v>
      </c>
    </row>
    <row r="183" spans="26:60" x14ac:dyDescent="0.25">
      <c r="Z183" s="315"/>
      <c r="AA183" s="313"/>
      <c r="AB183" s="313"/>
      <c r="AC183" s="313"/>
      <c r="AD183" s="313"/>
      <c r="AE183" s="313"/>
      <c r="AF183" s="44" t="s">
        <v>74</v>
      </c>
      <c r="AG183" s="5" t="s">
        <v>88</v>
      </c>
      <c r="AH183" s="319" t="s">
        <v>20</v>
      </c>
      <c r="AI183" s="193">
        <v>22</v>
      </c>
      <c r="AJ183" s="201">
        <v>24</v>
      </c>
      <c r="AK183" s="215">
        <f t="shared" si="187"/>
        <v>26.4</v>
      </c>
      <c r="AL183" s="216">
        <f t="shared" si="175"/>
        <v>28.799999999999997</v>
      </c>
      <c r="AM183" s="215">
        <f t="shared" si="179"/>
        <v>26.4</v>
      </c>
      <c r="AN183" s="210">
        <f t="shared" si="175"/>
        <v>28.799999999999997</v>
      </c>
      <c r="AO183" s="215">
        <f t="shared" si="167"/>
        <v>24.200000000000003</v>
      </c>
      <c r="AP183" s="216">
        <f t="shared" si="175"/>
        <v>28.799999999999997</v>
      </c>
      <c r="AQ183" s="217">
        <f t="shared" si="180"/>
        <v>28.6</v>
      </c>
      <c r="AR183" s="218">
        <f t="shared" si="178"/>
        <v>31.200000000000003</v>
      </c>
      <c r="AS183" s="217">
        <f t="shared" si="180"/>
        <v>28.6</v>
      </c>
      <c r="AT183" s="218">
        <f t="shared" si="178"/>
        <v>31.200000000000003</v>
      </c>
      <c r="AU183" s="217">
        <f t="shared" si="180"/>
        <v>28.6</v>
      </c>
      <c r="AV183" s="219">
        <f t="shared" si="178"/>
        <v>31.200000000000003</v>
      </c>
      <c r="AW183" s="225">
        <f t="shared" si="181"/>
        <v>30.799999999999997</v>
      </c>
      <c r="AX183" s="226">
        <f t="shared" si="182"/>
        <v>33.599999999999994</v>
      </c>
      <c r="AY183" s="229">
        <f t="shared" si="183"/>
        <v>33</v>
      </c>
      <c r="AZ183" s="230">
        <f t="shared" si="184"/>
        <v>36</v>
      </c>
      <c r="BA183" s="229">
        <f t="shared" si="185"/>
        <v>33</v>
      </c>
      <c r="BB183" s="230">
        <f t="shared" si="186"/>
        <v>36</v>
      </c>
      <c r="BC183" s="231" t="s">
        <v>153</v>
      </c>
      <c r="BD183" s="232" t="s">
        <v>153</v>
      </c>
      <c r="BE183" s="231" t="s">
        <v>153</v>
      </c>
      <c r="BF183" s="232" t="s">
        <v>153</v>
      </c>
      <c r="BG183" s="176" t="s">
        <v>153</v>
      </c>
      <c r="BH183" s="164" t="s">
        <v>153</v>
      </c>
    </row>
    <row r="184" spans="26:60" x14ac:dyDescent="0.25">
      <c r="Z184" s="315"/>
      <c r="AA184" s="313"/>
      <c r="AB184" s="313"/>
      <c r="AC184" s="313"/>
      <c r="AD184" s="313"/>
      <c r="AE184" s="313"/>
      <c r="AF184" s="44" t="s">
        <v>75</v>
      </c>
      <c r="AG184" s="5" t="s">
        <v>89</v>
      </c>
      <c r="AH184" s="319" t="s">
        <v>20</v>
      </c>
      <c r="AI184" s="193">
        <v>14</v>
      </c>
      <c r="AJ184" s="201">
        <v>16</v>
      </c>
      <c r="AK184" s="215">
        <f t="shared" si="187"/>
        <v>16.8</v>
      </c>
      <c r="AL184" s="216">
        <f t="shared" si="175"/>
        <v>19.2</v>
      </c>
      <c r="AM184" s="215">
        <f t="shared" si="179"/>
        <v>16.8</v>
      </c>
      <c r="AN184" s="210">
        <f t="shared" si="175"/>
        <v>19.2</v>
      </c>
      <c r="AO184" s="215">
        <f t="shared" si="167"/>
        <v>15.400000000000002</v>
      </c>
      <c r="AP184" s="216">
        <f t="shared" si="175"/>
        <v>19.2</v>
      </c>
      <c r="AQ184" s="217">
        <f t="shared" si="180"/>
        <v>18.2</v>
      </c>
      <c r="AR184" s="218">
        <f t="shared" si="178"/>
        <v>20.8</v>
      </c>
      <c r="AS184" s="217">
        <f t="shared" si="180"/>
        <v>18.2</v>
      </c>
      <c r="AT184" s="218">
        <f t="shared" si="178"/>
        <v>20.8</v>
      </c>
      <c r="AU184" s="217">
        <f t="shared" si="180"/>
        <v>18.2</v>
      </c>
      <c r="AV184" s="219">
        <f t="shared" si="178"/>
        <v>20.8</v>
      </c>
      <c r="AW184" s="229">
        <f t="shared" si="183"/>
        <v>21</v>
      </c>
      <c r="AX184" s="230">
        <f t="shared" si="184"/>
        <v>24</v>
      </c>
      <c r="AY184" s="229">
        <f t="shared" si="183"/>
        <v>21</v>
      </c>
      <c r="AZ184" s="230">
        <f t="shared" si="184"/>
        <v>24</v>
      </c>
      <c r="BA184" s="229">
        <f t="shared" si="185"/>
        <v>21</v>
      </c>
      <c r="BB184" s="230">
        <f t="shared" si="186"/>
        <v>24</v>
      </c>
      <c r="BC184" s="231" t="s">
        <v>153</v>
      </c>
      <c r="BD184" s="232" t="s">
        <v>153</v>
      </c>
      <c r="BE184" s="231" t="s">
        <v>153</v>
      </c>
      <c r="BF184" s="232" t="s">
        <v>153</v>
      </c>
      <c r="BG184" s="176" t="s">
        <v>153</v>
      </c>
      <c r="BH184" s="164" t="s">
        <v>153</v>
      </c>
    </row>
    <row r="185" spans="26:60" x14ac:dyDescent="0.25">
      <c r="Z185" s="315"/>
      <c r="AA185" s="313"/>
      <c r="AB185" s="313"/>
      <c r="AC185" s="313"/>
      <c r="AD185" s="313"/>
      <c r="AE185" s="313"/>
      <c r="AF185" s="44" t="s">
        <v>75</v>
      </c>
      <c r="AG185" s="5" t="s">
        <v>31</v>
      </c>
      <c r="AH185" s="319" t="s">
        <v>20</v>
      </c>
      <c r="AI185" s="193">
        <v>20</v>
      </c>
      <c r="AJ185" s="201">
        <v>22</v>
      </c>
      <c r="AK185" s="215">
        <f t="shared" si="187"/>
        <v>24</v>
      </c>
      <c r="AL185" s="216">
        <f t="shared" si="175"/>
        <v>26.4</v>
      </c>
      <c r="AM185" s="215">
        <f t="shared" si="179"/>
        <v>24</v>
      </c>
      <c r="AN185" s="210">
        <f t="shared" si="175"/>
        <v>26.4</v>
      </c>
      <c r="AO185" s="215">
        <f t="shared" ref="AO185:AO191" si="188">$AI185*$AT$5</f>
        <v>22</v>
      </c>
      <c r="AP185" s="216">
        <f t="shared" si="175"/>
        <v>26.4</v>
      </c>
      <c r="AQ185" s="217">
        <f t="shared" si="180"/>
        <v>26</v>
      </c>
      <c r="AR185" s="218">
        <f t="shared" si="178"/>
        <v>28.6</v>
      </c>
      <c r="AS185" s="217">
        <f t="shared" si="180"/>
        <v>26</v>
      </c>
      <c r="AT185" s="218">
        <f t="shared" si="178"/>
        <v>28.6</v>
      </c>
      <c r="AU185" s="217">
        <f t="shared" si="180"/>
        <v>26</v>
      </c>
      <c r="AV185" s="219">
        <f t="shared" si="178"/>
        <v>28.6</v>
      </c>
      <c r="AW185" s="229">
        <f t="shared" si="183"/>
        <v>30</v>
      </c>
      <c r="AX185" s="230">
        <f t="shared" si="184"/>
        <v>33</v>
      </c>
      <c r="AY185" s="229">
        <f t="shared" si="183"/>
        <v>30</v>
      </c>
      <c r="AZ185" s="230">
        <f t="shared" si="184"/>
        <v>33</v>
      </c>
      <c r="BA185" s="229">
        <f t="shared" si="185"/>
        <v>30</v>
      </c>
      <c r="BB185" s="230">
        <f t="shared" si="186"/>
        <v>33</v>
      </c>
      <c r="BC185" s="231" t="s">
        <v>153</v>
      </c>
      <c r="BD185" s="232" t="s">
        <v>153</v>
      </c>
      <c r="BE185" s="231" t="s">
        <v>153</v>
      </c>
      <c r="BF185" s="232" t="s">
        <v>153</v>
      </c>
      <c r="BG185" s="176" t="s">
        <v>153</v>
      </c>
      <c r="BH185" s="164" t="s">
        <v>153</v>
      </c>
    </row>
    <row r="186" spans="26:60" x14ac:dyDescent="0.25">
      <c r="Z186" s="315"/>
      <c r="AA186" s="313"/>
      <c r="AB186" s="313"/>
      <c r="AC186" s="313"/>
      <c r="AD186" s="313"/>
      <c r="AE186" s="313"/>
      <c r="AF186" s="44" t="s">
        <v>75</v>
      </c>
      <c r="AG186" s="5" t="s">
        <v>32</v>
      </c>
      <c r="AH186" s="319" t="s">
        <v>20</v>
      </c>
      <c r="AI186" s="193">
        <v>24</v>
      </c>
      <c r="AJ186" s="201">
        <v>26</v>
      </c>
      <c r="AK186" s="215">
        <f t="shared" si="187"/>
        <v>28.799999999999997</v>
      </c>
      <c r="AL186" s="216">
        <f t="shared" si="175"/>
        <v>31.2</v>
      </c>
      <c r="AM186" s="215">
        <f t="shared" si="179"/>
        <v>28.799999999999997</v>
      </c>
      <c r="AN186" s="210">
        <f t="shared" si="175"/>
        <v>31.2</v>
      </c>
      <c r="AO186" s="215">
        <f t="shared" si="188"/>
        <v>26.400000000000002</v>
      </c>
      <c r="AP186" s="216">
        <f t="shared" si="175"/>
        <v>31.2</v>
      </c>
      <c r="AQ186" s="217">
        <f t="shared" si="180"/>
        <v>31.200000000000003</v>
      </c>
      <c r="AR186" s="218">
        <f t="shared" si="178"/>
        <v>33.800000000000004</v>
      </c>
      <c r="AS186" s="217">
        <f t="shared" si="180"/>
        <v>31.200000000000003</v>
      </c>
      <c r="AT186" s="218">
        <f t="shared" si="178"/>
        <v>33.800000000000004</v>
      </c>
      <c r="AU186" s="217">
        <f t="shared" si="180"/>
        <v>31.200000000000003</v>
      </c>
      <c r="AV186" s="219">
        <f t="shared" si="178"/>
        <v>33.800000000000004</v>
      </c>
      <c r="AW186" s="229">
        <f t="shared" si="183"/>
        <v>36</v>
      </c>
      <c r="AX186" s="230">
        <f t="shared" si="184"/>
        <v>39</v>
      </c>
      <c r="AY186" s="229">
        <f t="shared" si="183"/>
        <v>36</v>
      </c>
      <c r="AZ186" s="230">
        <f t="shared" si="184"/>
        <v>39</v>
      </c>
      <c r="BA186" s="229">
        <f t="shared" si="185"/>
        <v>36</v>
      </c>
      <c r="BB186" s="230">
        <f t="shared" si="186"/>
        <v>39</v>
      </c>
      <c r="BC186" s="231" t="s">
        <v>153</v>
      </c>
      <c r="BD186" s="232" t="s">
        <v>153</v>
      </c>
      <c r="BE186" s="231" t="s">
        <v>153</v>
      </c>
      <c r="BF186" s="232" t="s">
        <v>153</v>
      </c>
      <c r="BG186" s="176" t="s">
        <v>153</v>
      </c>
      <c r="BH186" s="164" t="s">
        <v>153</v>
      </c>
    </row>
    <row r="187" spans="26:60" x14ac:dyDescent="0.25">
      <c r="Z187" s="315"/>
      <c r="AA187" s="313"/>
      <c r="AB187" s="313"/>
      <c r="AC187" s="313"/>
      <c r="AD187" s="313"/>
      <c r="AE187" s="313"/>
      <c r="AF187" s="44" t="s">
        <v>75</v>
      </c>
      <c r="AG187" s="5" t="s">
        <v>88</v>
      </c>
      <c r="AH187" s="319" t="s">
        <v>20</v>
      </c>
      <c r="AI187" s="193">
        <v>26</v>
      </c>
      <c r="AJ187" s="201">
        <v>28</v>
      </c>
      <c r="AK187" s="215">
        <f t="shared" si="187"/>
        <v>31.2</v>
      </c>
      <c r="AL187" s="216">
        <f t="shared" si="175"/>
        <v>33.6</v>
      </c>
      <c r="AM187" s="215">
        <f t="shared" si="179"/>
        <v>31.2</v>
      </c>
      <c r="AN187" s="210">
        <f t="shared" si="175"/>
        <v>33.6</v>
      </c>
      <c r="AO187" s="215">
        <f t="shared" si="188"/>
        <v>28.6</v>
      </c>
      <c r="AP187" s="216">
        <f t="shared" si="175"/>
        <v>33.6</v>
      </c>
      <c r="AQ187" s="217">
        <f t="shared" si="180"/>
        <v>33.800000000000004</v>
      </c>
      <c r="AR187" s="218">
        <f t="shared" si="178"/>
        <v>36.4</v>
      </c>
      <c r="AS187" s="217">
        <f t="shared" si="180"/>
        <v>33.800000000000004</v>
      </c>
      <c r="AT187" s="218">
        <f t="shared" si="178"/>
        <v>36.4</v>
      </c>
      <c r="AU187" s="217">
        <f t="shared" si="180"/>
        <v>33.800000000000004</v>
      </c>
      <c r="AV187" s="219">
        <f t="shared" si="178"/>
        <v>36.4</v>
      </c>
      <c r="AW187" s="229">
        <f t="shared" si="183"/>
        <v>39</v>
      </c>
      <c r="AX187" s="230">
        <f t="shared" si="184"/>
        <v>42</v>
      </c>
      <c r="AY187" s="229">
        <f t="shared" si="183"/>
        <v>39</v>
      </c>
      <c r="AZ187" s="230">
        <f t="shared" si="184"/>
        <v>42</v>
      </c>
      <c r="BA187" s="229">
        <f t="shared" si="185"/>
        <v>39</v>
      </c>
      <c r="BB187" s="230">
        <f t="shared" si="186"/>
        <v>42</v>
      </c>
      <c r="BC187" s="231" t="s">
        <v>153</v>
      </c>
      <c r="BD187" s="232" t="s">
        <v>153</v>
      </c>
      <c r="BE187" s="231" t="s">
        <v>153</v>
      </c>
      <c r="BF187" s="232" t="s">
        <v>153</v>
      </c>
      <c r="BG187" s="176" t="s">
        <v>153</v>
      </c>
      <c r="BH187" s="164" t="s">
        <v>153</v>
      </c>
    </row>
    <row r="188" spans="26:60" x14ac:dyDescent="0.25">
      <c r="Z188" s="315"/>
      <c r="AA188" s="313"/>
      <c r="AB188" s="313"/>
      <c r="AC188" s="313"/>
      <c r="AD188" s="313"/>
      <c r="AE188" s="313"/>
      <c r="AF188" s="44" t="s">
        <v>96</v>
      </c>
      <c r="AG188" s="5" t="s">
        <v>89</v>
      </c>
      <c r="AH188" s="319" t="s">
        <v>20</v>
      </c>
      <c r="AI188" s="193">
        <v>14</v>
      </c>
      <c r="AJ188" s="201">
        <v>16</v>
      </c>
      <c r="AK188" s="215">
        <f t="shared" si="187"/>
        <v>16.8</v>
      </c>
      <c r="AL188" s="216">
        <f t="shared" ref="AL188:AL195" si="189">$AJ188*$AV$5</f>
        <v>19.2</v>
      </c>
      <c r="AM188" s="215">
        <f t="shared" si="179"/>
        <v>16.8</v>
      </c>
      <c r="AN188" s="210">
        <f t="shared" ref="AN188:AN191" si="190">$AJ188*$AV$5</f>
        <v>19.2</v>
      </c>
      <c r="AO188" s="215">
        <f t="shared" si="188"/>
        <v>15.400000000000002</v>
      </c>
      <c r="AP188" s="216">
        <f t="shared" ref="AP188:AP191" si="191">$AJ188*$AV$5</f>
        <v>19.2</v>
      </c>
      <c r="AQ188" s="217">
        <f t="shared" si="180"/>
        <v>18.2</v>
      </c>
      <c r="AR188" s="218">
        <f t="shared" si="178"/>
        <v>20.8</v>
      </c>
      <c r="AS188" s="225">
        <f t="shared" ref="AS188:AS191" si="192">$AI188*$AZ$5</f>
        <v>19.599999999999998</v>
      </c>
      <c r="AT188" s="226">
        <f t="shared" ref="AT188:AT191" si="193">$AJ188*$AZ$5</f>
        <v>22.4</v>
      </c>
      <c r="AU188" s="225">
        <f t="shared" ref="AU188:AU191" si="194">$AI188*$AZ$5</f>
        <v>19.599999999999998</v>
      </c>
      <c r="AV188" s="220">
        <f t="shared" ref="AV188:AV191" si="195">$AJ188*$AZ$5</f>
        <v>22.4</v>
      </c>
      <c r="AW188" s="229">
        <f t="shared" ref="AW188:AW191" si="196">$AI188*$BB$5</f>
        <v>21</v>
      </c>
      <c r="AX188" s="230">
        <f t="shared" ref="AX188:AX191" si="197">$AJ188*$BB$5</f>
        <v>24</v>
      </c>
      <c r="AY188" s="231" t="s">
        <v>153</v>
      </c>
      <c r="AZ188" s="232" t="s">
        <v>153</v>
      </c>
      <c r="BA188" s="231" t="s">
        <v>153</v>
      </c>
      <c r="BB188" s="232" t="s">
        <v>153</v>
      </c>
      <c r="BC188" s="231" t="s">
        <v>153</v>
      </c>
      <c r="BD188" s="232" t="s">
        <v>153</v>
      </c>
      <c r="BE188" s="231" t="s">
        <v>153</v>
      </c>
      <c r="BF188" s="232" t="s">
        <v>153</v>
      </c>
      <c r="BG188" s="176" t="s">
        <v>153</v>
      </c>
      <c r="BH188" s="164" t="s">
        <v>153</v>
      </c>
    </row>
    <row r="189" spans="26:60" x14ac:dyDescent="0.25">
      <c r="Z189" s="315"/>
      <c r="AA189" s="313"/>
      <c r="AB189" s="313"/>
      <c r="AC189" s="313"/>
      <c r="AD189" s="313"/>
      <c r="AE189" s="313"/>
      <c r="AF189" s="44" t="s">
        <v>96</v>
      </c>
      <c r="AG189" s="5" t="s">
        <v>31</v>
      </c>
      <c r="AH189" s="319" t="s">
        <v>20</v>
      </c>
      <c r="AI189" s="193">
        <v>20</v>
      </c>
      <c r="AJ189" s="201">
        <v>22</v>
      </c>
      <c r="AK189" s="215">
        <f t="shared" si="187"/>
        <v>24</v>
      </c>
      <c r="AL189" s="216">
        <f t="shared" si="189"/>
        <v>26.4</v>
      </c>
      <c r="AM189" s="215">
        <f t="shared" si="179"/>
        <v>24</v>
      </c>
      <c r="AN189" s="210">
        <f t="shared" si="190"/>
        <v>26.4</v>
      </c>
      <c r="AO189" s="215">
        <f t="shared" si="188"/>
        <v>22</v>
      </c>
      <c r="AP189" s="216">
        <f t="shared" si="191"/>
        <v>26.4</v>
      </c>
      <c r="AQ189" s="217">
        <f t="shared" si="180"/>
        <v>26</v>
      </c>
      <c r="AR189" s="218">
        <f t="shared" si="178"/>
        <v>28.6</v>
      </c>
      <c r="AS189" s="225">
        <f t="shared" si="192"/>
        <v>28</v>
      </c>
      <c r="AT189" s="226">
        <f t="shared" si="193"/>
        <v>30.799999999999997</v>
      </c>
      <c r="AU189" s="225">
        <f t="shared" si="194"/>
        <v>28</v>
      </c>
      <c r="AV189" s="220">
        <f t="shared" si="195"/>
        <v>30.799999999999997</v>
      </c>
      <c r="AW189" s="229">
        <f t="shared" si="196"/>
        <v>30</v>
      </c>
      <c r="AX189" s="230">
        <f t="shared" si="197"/>
        <v>33</v>
      </c>
      <c r="AY189" s="231" t="s">
        <v>153</v>
      </c>
      <c r="AZ189" s="232" t="s">
        <v>153</v>
      </c>
      <c r="BA189" s="231" t="s">
        <v>153</v>
      </c>
      <c r="BB189" s="232" t="s">
        <v>153</v>
      </c>
      <c r="BC189" s="231" t="s">
        <v>153</v>
      </c>
      <c r="BD189" s="232" t="s">
        <v>153</v>
      </c>
      <c r="BE189" s="231" t="s">
        <v>153</v>
      </c>
      <c r="BF189" s="232" t="s">
        <v>153</v>
      </c>
      <c r="BG189" s="176" t="s">
        <v>153</v>
      </c>
      <c r="BH189" s="164" t="s">
        <v>153</v>
      </c>
    </row>
    <row r="190" spans="26:60" x14ac:dyDescent="0.25">
      <c r="AF190" s="44" t="s">
        <v>96</v>
      </c>
      <c r="AG190" s="5" t="s">
        <v>32</v>
      </c>
      <c r="AH190" s="319" t="s">
        <v>20</v>
      </c>
      <c r="AI190" s="193">
        <v>26</v>
      </c>
      <c r="AJ190" s="201">
        <v>28</v>
      </c>
      <c r="AK190" s="215">
        <f t="shared" si="187"/>
        <v>31.2</v>
      </c>
      <c r="AL190" s="216">
        <f t="shared" si="189"/>
        <v>33.6</v>
      </c>
      <c r="AM190" s="215">
        <f t="shared" si="179"/>
        <v>31.2</v>
      </c>
      <c r="AN190" s="210">
        <f t="shared" si="190"/>
        <v>33.6</v>
      </c>
      <c r="AO190" s="215">
        <f t="shared" si="188"/>
        <v>28.6</v>
      </c>
      <c r="AP190" s="216">
        <f t="shared" si="191"/>
        <v>33.6</v>
      </c>
      <c r="AQ190" s="217">
        <f t="shared" si="180"/>
        <v>33.800000000000004</v>
      </c>
      <c r="AR190" s="218">
        <f t="shared" si="178"/>
        <v>36.4</v>
      </c>
      <c r="AS190" s="225">
        <f t="shared" si="192"/>
        <v>36.4</v>
      </c>
      <c r="AT190" s="226">
        <f t="shared" si="193"/>
        <v>39.199999999999996</v>
      </c>
      <c r="AU190" s="225">
        <f t="shared" si="194"/>
        <v>36.4</v>
      </c>
      <c r="AV190" s="220">
        <f t="shared" si="195"/>
        <v>39.199999999999996</v>
      </c>
      <c r="AW190" s="229">
        <f t="shared" si="196"/>
        <v>39</v>
      </c>
      <c r="AX190" s="230">
        <f t="shared" si="197"/>
        <v>42</v>
      </c>
      <c r="AY190" s="231" t="s">
        <v>153</v>
      </c>
      <c r="AZ190" s="232" t="s">
        <v>153</v>
      </c>
      <c r="BA190" s="231" t="s">
        <v>153</v>
      </c>
      <c r="BB190" s="232" t="s">
        <v>153</v>
      </c>
      <c r="BC190" s="231" t="s">
        <v>153</v>
      </c>
      <c r="BD190" s="232" t="s">
        <v>153</v>
      </c>
      <c r="BE190" s="231" t="s">
        <v>153</v>
      </c>
      <c r="BF190" s="232" t="s">
        <v>153</v>
      </c>
      <c r="BG190" s="176" t="s">
        <v>153</v>
      </c>
      <c r="BH190" s="164" t="s">
        <v>153</v>
      </c>
    </row>
    <row r="191" spans="26:60" x14ac:dyDescent="0.25">
      <c r="AF191" s="44" t="s">
        <v>96</v>
      </c>
      <c r="AG191" s="5" t="s">
        <v>88</v>
      </c>
      <c r="AH191" s="319" t="s">
        <v>20</v>
      </c>
      <c r="AI191" s="193">
        <v>28</v>
      </c>
      <c r="AJ191" s="201">
        <v>30</v>
      </c>
      <c r="AK191" s="215">
        <f t="shared" si="187"/>
        <v>33.6</v>
      </c>
      <c r="AL191" s="216">
        <f t="shared" si="189"/>
        <v>36</v>
      </c>
      <c r="AM191" s="215">
        <f t="shared" si="179"/>
        <v>33.6</v>
      </c>
      <c r="AN191" s="210">
        <f t="shared" si="190"/>
        <v>36</v>
      </c>
      <c r="AO191" s="215">
        <f t="shared" si="188"/>
        <v>30.800000000000004</v>
      </c>
      <c r="AP191" s="216">
        <f t="shared" si="191"/>
        <v>36</v>
      </c>
      <c r="AQ191" s="217">
        <f t="shared" si="180"/>
        <v>36.4</v>
      </c>
      <c r="AR191" s="218">
        <f t="shared" si="178"/>
        <v>39</v>
      </c>
      <c r="AS191" s="225">
        <f t="shared" si="192"/>
        <v>39.199999999999996</v>
      </c>
      <c r="AT191" s="226">
        <f t="shared" si="193"/>
        <v>42</v>
      </c>
      <c r="AU191" s="225">
        <f t="shared" si="194"/>
        <v>39.199999999999996</v>
      </c>
      <c r="AV191" s="220">
        <f t="shared" si="195"/>
        <v>42</v>
      </c>
      <c r="AW191" s="229">
        <f t="shared" si="196"/>
        <v>42</v>
      </c>
      <c r="AX191" s="230">
        <f t="shared" si="197"/>
        <v>45</v>
      </c>
      <c r="AY191" s="231" t="s">
        <v>153</v>
      </c>
      <c r="AZ191" s="232" t="s">
        <v>153</v>
      </c>
      <c r="BA191" s="231" t="s">
        <v>153</v>
      </c>
      <c r="BB191" s="232" t="s">
        <v>153</v>
      </c>
      <c r="BC191" s="231" t="s">
        <v>153</v>
      </c>
      <c r="BD191" s="232" t="s">
        <v>153</v>
      </c>
      <c r="BE191" s="231" t="s">
        <v>153</v>
      </c>
      <c r="BF191" s="232" t="s">
        <v>153</v>
      </c>
      <c r="BG191" s="176" t="s">
        <v>153</v>
      </c>
      <c r="BH191" s="164" t="s">
        <v>153</v>
      </c>
    </row>
    <row r="192" spans="26:60" x14ac:dyDescent="0.25">
      <c r="AF192" s="44" t="s">
        <v>97</v>
      </c>
      <c r="AG192" s="5" t="s">
        <v>89</v>
      </c>
      <c r="AH192" s="319" t="s">
        <v>20</v>
      </c>
      <c r="AI192" s="193">
        <v>14</v>
      </c>
      <c r="AJ192" s="201">
        <v>16</v>
      </c>
      <c r="AK192" s="215">
        <f t="shared" si="187"/>
        <v>16.8</v>
      </c>
      <c r="AL192" s="216">
        <f t="shared" si="189"/>
        <v>19.2</v>
      </c>
      <c r="AM192" s="217">
        <f>$AI192*$AX$5</f>
        <v>18.2</v>
      </c>
      <c r="AN192" s="219">
        <f t="shared" ref="AN192:AN195" si="198">$AJ192*$AX$5</f>
        <v>20.8</v>
      </c>
      <c r="AO192" s="225">
        <f t="shared" ref="AO192:AO195" si="199">$AI192*$AZ$5</f>
        <v>19.599999999999998</v>
      </c>
      <c r="AP192" s="226">
        <f t="shared" ref="AP192:AP195" si="200">$AJ192*$AZ$5</f>
        <v>22.4</v>
      </c>
      <c r="AQ192" s="225">
        <f t="shared" ref="AQ192:AQ195" si="201">$AI192*$AZ$5</f>
        <v>19.599999999999998</v>
      </c>
      <c r="AR192" s="226">
        <f t="shared" ref="AR192:AR195" si="202">$AJ192*$AZ$5</f>
        <v>22.4</v>
      </c>
      <c r="AS192" s="229">
        <f t="shared" ref="AS192:AS195" si="203">$AI192*$BB$5</f>
        <v>21</v>
      </c>
      <c r="AT192" s="230">
        <f t="shared" ref="AT192:AT195" si="204">$AJ192*$BB$5</f>
        <v>24</v>
      </c>
      <c r="AU192" s="231" t="s">
        <v>153</v>
      </c>
      <c r="AV192" s="235" t="s">
        <v>153</v>
      </c>
      <c r="AW192" s="231" t="s">
        <v>153</v>
      </c>
      <c r="AX192" s="232" t="s">
        <v>153</v>
      </c>
      <c r="AY192" s="231" t="s">
        <v>153</v>
      </c>
      <c r="AZ192" s="232" t="s">
        <v>153</v>
      </c>
      <c r="BA192" s="231" t="s">
        <v>153</v>
      </c>
      <c r="BB192" s="232" t="s">
        <v>153</v>
      </c>
      <c r="BC192" s="231" t="s">
        <v>153</v>
      </c>
      <c r="BD192" s="232" t="s">
        <v>153</v>
      </c>
      <c r="BE192" s="231" t="s">
        <v>153</v>
      </c>
      <c r="BF192" s="232" t="s">
        <v>153</v>
      </c>
      <c r="BG192" s="176" t="s">
        <v>153</v>
      </c>
      <c r="BH192" s="164" t="s">
        <v>153</v>
      </c>
    </row>
    <row r="193" spans="32:60" x14ac:dyDescent="0.25">
      <c r="AF193" s="44" t="s">
        <v>97</v>
      </c>
      <c r="AG193" s="5" t="s">
        <v>31</v>
      </c>
      <c r="AH193" s="319" t="s">
        <v>20</v>
      </c>
      <c r="AI193" s="193">
        <v>20</v>
      </c>
      <c r="AJ193" s="201">
        <v>22</v>
      </c>
      <c r="AK193" s="215">
        <f t="shared" si="187"/>
        <v>24</v>
      </c>
      <c r="AL193" s="216">
        <f t="shared" si="189"/>
        <v>26.4</v>
      </c>
      <c r="AM193" s="217">
        <f t="shared" ref="AM193:AM195" si="205">$AI193*$AX$5</f>
        <v>26</v>
      </c>
      <c r="AN193" s="219">
        <f t="shared" si="198"/>
        <v>28.6</v>
      </c>
      <c r="AO193" s="225">
        <f t="shared" si="199"/>
        <v>28</v>
      </c>
      <c r="AP193" s="226">
        <f t="shared" si="200"/>
        <v>30.799999999999997</v>
      </c>
      <c r="AQ193" s="225">
        <f t="shared" si="201"/>
        <v>28</v>
      </c>
      <c r="AR193" s="226">
        <f t="shared" si="202"/>
        <v>30.799999999999997</v>
      </c>
      <c r="AS193" s="229">
        <f t="shared" si="203"/>
        <v>30</v>
      </c>
      <c r="AT193" s="230">
        <f t="shared" si="204"/>
        <v>33</v>
      </c>
      <c r="AU193" s="231" t="s">
        <v>153</v>
      </c>
      <c r="AV193" s="235" t="s">
        <v>153</v>
      </c>
      <c r="AW193" s="231" t="s">
        <v>153</v>
      </c>
      <c r="AX193" s="232" t="s">
        <v>153</v>
      </c>
      <c r="AY193" s="231" t="s">
        <v>153</v>
      </c>
      <c r="AZ193" s="232" t="s">
        <v>153</v>
      </c>
      <c r="BA193" s="231" t="s">
        <v>153</v>
      </c>
      <c r="BB193" s="232" t="s">
        <v>153</v>
      </c>
      <c r="BC193" s="231" t="s">
        <v>153</v>
      </c>
      <c r="BD193" s="232" t="s">
        <v>153</v>
      </c>
      <c r="BE193" s="231" t="s">
        <v>153</v>
      </c>
      <c r="BF193" s="232" t="s">
        <v>153</v>
      </c>
      <c r="BG193" s="176" t="s">
        <v>153</v>
      </c>
      <c r="BH193" s="164" t="s">
        <v>153</v>
      </c>
    </row>
    <row r="194" spans="32:60" x14ac:dyDescent="0.25">
      <c r="AF194" s="44" t="s">
        <v>97</v>
      </c>
      <c r="AG194" s="5" t="s">
        <v>32</v>
      </c>
      <c r="AH194" s="319" t="s">
        <v>20</v>
      </c>
      <c r="AI194" s="193">
        <v>26</v>
      </c>
      <c r="AJ194" s="201">
        <v>28</v>
      </c>
      <c r="AK194" s="215">
        <f t="shared" si="187"/>
        <v>31.2</v>
      </c>
      <c r="AL194" s="216">
        <f t="shared" si="189"/>
        <v>33.6</v>
      </c>
      <c r="AM194" s="217">
        <f t="shared" si="205"/>
        <v>33.800000000000004</v>
      </c>
      <c r="AN194" s="219">
        <f t="shared" si="198"/>
        <v>36.4</v>
      </c>
      <c r="AO194" s="225">
        <f t="shared" si="199"/>
        <v>36.4</v>
      </c>
      <c r="AP194" s="226">
        <f t="shared" si="200"/>
        <v>39.199999999999996</v>
      </c>
      <c r="AQ194" s="225">
        <f t="shared" si="201"/>
        <v>36.4</v>
      </c>
      <c r="AR194" s="226">
        <f t="shared" si="202"/>
        <v>39.199999999999996</v>
      </c>
      <c r="AS194" s="229">
        <f t="shared" si="203"/>
        <v>39</v>
      </c>
      <c r="AT194" s="230">
        <f t="shared" si="204"/>
        <v>42</v>
      </c>
      <c r="AU194" s="231" t="s">
        <v>153</v>
      </c>
      <c r="AV194" s="235" t="s">
        <v>153</v>
      </c>
      <c r="AW194" s="231" t="s">
        <v>153</v>
      </c>
      <c r="AX194" s="232" t="s">
        <v>153</v>
      </c>
      <c r="AY194" s="231" t="s">
        <v>153</v>
      </c>
      <c r="AZ194" s="232" t="s">
        <v>153</v>
      </c>
      <c r="BA194" s="231" t="s">
        <v>153</v>
      </c>
      <c r="BB194" s="232" t="s">
        <v>153</v>
      </c>
      <c r="BC194" s="231" t="s">
        <v>153</v>
      </c>
      <c r="BD194" s="232" t="s">
        <v>153</v>
      </c>
      <c r="BE194" s="231" t="s">
        <v>153</v>
      </c>
      <c r="BF194" s="232" t="s">
        <v>153</v>
      </c>
      <c r="BG194" s="176" t="s">
        <v>153</v>
      </c>
      <c r="BH194" s="164" t="s">
        <v>153</v>
      </c>
    </row>
    <row r="195" spans="32:60" x14ac:dyDescent="0.25">
      <c r="AF195" s="42" t="s">
        <v>97</v>
      </c>
      <c r="AG195" s="34" t="s">
        <v>88</v>
      </c>
      <c r="AH195" s="321" t="s">
        <v>20</v>
      </c>
      <c r="AI195" s="194">
        <v>28</v>
      </c>
      <c r="AJ195" s="202">
        <v>30</v>
      </c>
      <c r="AK195" s="215">
        <f t="shared" si="187"/>
        <v>33.6</v>
      </c>
      <c r="AL195" s="216">
        <f t="shared" si="189"/>
        <v>36</v>
      </c>
      <c r="AM195" s="217">
        <f t="shared" si="205"/>
        <v>36.4</v>
      </c>
      <c r="AN195" s="219">
        <f t="shared" si="198"/>
        <v>39</v>
      </c>
      <c r="AO195" s="225">
        <f t="shared" si="199"/>
        <v>39.199999999999996</v>
      </c>
      <c r="AP195" s="226">
        <f t="shared" si="200"/>
        <v>42</v>
      </c>
      <c r="AQ195" s="225">
        <f t="shared" si="201"/>
        <v>39.199999999999996</v>
      </c>
      <c r="AR195" s="226">
        <f t="shared" si="202"/>
        <v>42</v>
      </c>
      <c r="AS195" s="229">
        <f t="shared" si="203"/>
        <v>42</v>
      </c>
      <c r="AT195" s="230">
        <f t="shared" si="204"/>
        <v>45</v>
      </c>
      <c r="AU195" s="233" t="s">
        <v>153</v>
      </c>
      <c r="AV195" s="236" t="s">
        <v>153</v>
      </c>
      <c r="AW195" s="233" t="s">
        <v>153</v>
      </c>
      <c r="AX195" s="234" t="s">
        <v>153</v>
      </c>
      <c r="AY195" s="231" t="s">
        <v>153</v>
      </c>
      <c r="AZ195" s="234" t="s">
        <v>153</v>
      </c>
      <c r="BA195" s="233" t="s">
        <v>153</v>
      </c>
      <c r="BB195" s="234" t="s">
        <v>153</v>
      </c>
      <c r="BC195" s="231" t="s">
        <v>153</v>
      </c>
      <c r="BD195" s="234" t="s">
        <v>153</v>
      </c>
      <c r="BE195" s="231" t="s">
        <v>153</v>
      </c>
      <c r="BF195" s="234" t="s">
        <v>153</v>
      </c>
      <c r="BG195" s="176" t="s">
        <v>153</v>
      </c>
      <c r="BH195" s="164" t="s">
        <v>153</v>
      </c>
    </row>
    <row r="196" spans="32:60" x14ac:dyDescent="0.25">
      <c r="AF196" s="44" t="s">
        <v>86</v>
      </c>
      <c r="AG196" s="5" t="s">
        <v>89</v>
      </c>
      <c r="AH196" s="319" t="s">
        <v>20</v>
      </c>
      <c r="AI196" s="195" t="s">
        <v>87</v>
      </c>
      <c r="AJ196" s="203" t="s">
        <v>87</v>
      </c>
      <c r="AK196" s="195" t="s">
        <v>87</v>
      </c>
      <c r="AL196" s="160" t="s">
        <v>87</v>
      </c>
      <c r="AM196" s="195" t="s">
        <v>87</v>
      </c>
      <c r="AN196" s="203" t="s">
        <v>87</v>
      </c>
      <c r="AO196" s="195" t="s">
        <v>87</v>
      </c>
      <c r="AP196" s="160" t="s">
        <v>87</v>
      </c>
      <c r="AQ196" s="195" t="s">
        <v>87</v>
      </c>
      <c r="AR196" s="160" t="s">
        <v>87</v>
      </c>
      <c r="AS196" s="195" t="s">
        <v>87</v>
      </c>
      <c r="AT196" s="160" t="s">
        <v>87</v>
      </c>
      <c r="AU196" s="195" t="s">
        <v>87</v>
      </c>
      <c r="AV196" s="203" t="s">
        <v>87</v>
      </c>
      <c r="AW196" s="195" t="s">
        <v>87</v>
      </c>
      <c r="AX196" s="160" t="s">
        <v>87</v>
      </c>
      <c r="AY196" s="195" t="s">
        <v>87</v>
      </c>
      <c r="AZ196" s="160" t="s">
        <v>87</v>
      </c>
      <c r="BA196" s="195" t="s">
        <v>87</v>
      </c>
      <c r="BB196" s="160" t="s">
        <v>87</v>
      </c>
      <c r="BC196" s="195" t="s">
        <v>87</v>
      </c>
      <c r="BD196" s="160" t="s">
        <v>87</v>
      </c>
      <c r="BE196" s="195" t="s">
        <v>87</v>
      </c>
      <c r="BF196" s="160" t="s">
        <v>87</v>
      </c>
      <c r="BG196" s="187" t="s">
        <v>87</v>
      </c>
      <c r="BH196" s="160" t="s">
        <v>87</v>
      </c>
    </row>
    <row r="197" spans="32:60" x14ac:dyDescent="0.25">
      <c r="AF197" s="44" t="s">
        <v>86</v>
      </c>
      <c r="AG197" s="5" t="s">
        <v>31</v>
      </c>
      <c r="AH197" s="319" t="s">
        <v>20</v>
      </c>
      <c r="AI197" s="195" t="s">
        <v>87</v>
      </c>
      <c r="AJ197" s="203" t="s">
        <v>87</v>
      </c>
      <c r="AK197" s="195" t="s">
        <v>87</v>
      </c>
      <c r="AL197" s="160" t="s">
        <v>87</v>
      </c>
      <c r="AM197" s="195" t="s">
        <v>87</v>
      </c>
      <c r="AN197" s="203" t="s">
        <v>87</v>
      </c>
      <c r="AO197" s="195" t="s">
        <v>87</v>
      </c>
      <c r="AP197" s="160" t="s">
        <v>87</v>
      </c>
      <c r="AQ197" s="195" t="s">
        <v>87</v>
      </c>
      <c r="AR197" s="160" t="s">
        <v>87</v>
      </c>
      <c r="AS197" s="195" t="s">
        <v>87</v>
      </c>
      <c r="AT197" s="160" t="s">
        <v>87</v>
      </c>
      <c r="AU197" s="195" t="s">
        <v>87</v>
      </c>
      <c r="AV197" s="203" t="s">
        <v>87</v>
      </c>
      <c r="AW197" s="195" t="s">
        <v>87</v>
      </c>
      <c r="AX197" s="160" t="s">
        <v>87</v>
      </c>
      <c r="AY197" s="195" t="s">
        <v>87</v>
      </c>
      <c r="AZ197" s="160" t="s">
        <v>87</v>
      </c>
      <c r="BA197" s="195" t="s">
        <v>87</v>
      </c>
      <c r="BB197" s="160" t="s">
        <v>87</v>
      </c>
      <c r="BC197" s="195" t="s">
        <v>87</v>
      </c>
      <c r="BD197" s="160" t="s">
        <v>87</v>
      </c>
      <c r="BE197" s="195" t="s">
        <v>87</v>
      </c>
      <c r="BF197" s="160" t="s">
        <v>87</v>
      </c>
      <c r="BG197" s="187" t="s">
        <v>87</v>
      </c>
      <c r="BH197" s="160" t="s">
        <v>87</v>
      </c>
    </row>
    <row r="198" spans="32:60" x14ac:dyDescent="0.25">
      <c r="AF198" s="44" t="s">
        <v>86</v>
      </c>
      <c r="AG198" s="5" t="s">
        <v>32</v>
      </c>
      <c r="AH198" s="319" t="s">
        <v>20</v>
      </c>
      <c r="AI198" s="195" t="s">
        <v>87</v>
      </c>
      <c r="AJ198" s="203" t="s">
        <v>87</v>
      </c>
      <c r="AK198" s="195" t="s">
        <v>87</v>
      </c>
      <c r="AL198" s="160" t="s">
        <v>87</v>
      </c>
      <c r="AM198" s="195" t="s">
        <v>87</v>
      </c>
      <c r="AN198" s="203" t="s">
        <v>87</v>
      </c>
      <c r="AO198" s="195" t="s">
        <v>87</v>
      </c>
      <c r="AP198" s="160" t="s">
        <v>87</v>
      </c>
      <c r="AQ198" s="195" t="s">
        <v>87</v>
      </c>
      <c r="AR198" s="160" t="s">
        <v>87</v>
      </c>
      <c r="AS198" s="195" t="s">
        <v>87</v>
      </c>
      <c r="AT198" s="160" t="s">
        <v>87</v>
      </c>
      <c r="AU198" s="195" t="s">
        <v>87</v>
      </c>
      <c r="AV198" s="203" t="s">
        <v>87</v>
      </c>
      <c r="AW198" s="195" t="s">
        <v>87</v>
      </c>
      <c r="AX198" s="160" t="s">
        <v>87</v>
      </c>
      <c r="AY198" s="195" t="s">
        <v>87</v>
      </c>
      <c r="AZ198" s="160" t="s">
        <v>87</v>
      </c>
      <c r="BA198" s="195" t="s">
        <v>87</v>
      </c>
      <c r="BB198" s="160" t="s">
        <v>87</v>
      </c>
      <c r="BC198" s="195" t="s">
        <v>87</v>
      </c>
      <c r="BD198" s="160" t="s">
        <v>87</v>
      </c>
      <c r="BE198" s="195" t="s">
        <v>87</v>
      </c>
      <c r="BF198" s="160" t="s">
        <v>87</v>
      </c>
      <c r="BG198" s="187" t="s">
        <v>87</v>
      </c>
      <c r="BH198" s="160" t="s">
        <v>87</v>
      </c>
    </row>
    <row r="199" spans="32:60" ht="15.75" thickBot="1" x14ac:dyDescent="0.3">
      <c r="AF199" s="46" t="s">
        <v>86</v>
      </c>
      <c r="AG199" s="47" t="s">
        <v>88</v>
      </c>
      <c r="AH199" s="184" t="s">
        <v>20</v>
      </c>
      <c r="AI199" s="196" t="s">
        <v>87</v>
      </c>
      <c r="AJ199" s="204" t="s">
        <v>87</v>
      </c>
      <c r="AK199" s="196" t="s">
        <v>87</v>
      </c>
      <c r="AL199" s="161" t="s">
        <v>87</v>
      </c>
      <c r="AM199" s="196" t="s">
        <v>87</v>
      </c>
      <c r="AN199" s="204" t="s">
        <v>87</v>
      </c>
      <c r="AO199" s="196" t="s">
        <v>87</v>
      </c>
      <c r="AP199" s="161" t="s">
        <v>87</v>
      </c>
      <c r="AQ199" s="196" t="s">
        <v>87</v>
      </c>
      <c r="AR199" s="161" t="s">
        <v>87</v>
      </c>
      <c r="AS199" s="196" t="s">
        <v>87</v>
      </c>
      <c r="AT199" s="161" t="s">
        <v>87</v>
      </c>
      <c r="AU199" s="196" t="s">
        <v>87</v>
      </c>
      <c r="AV199" s="204" t="s">
        <v>87</v>
      </c>
      <c r="AW199" s="196" t="s">
        <v>87</v>
      </c>
      <c r="AX199" s="161" t="s">
        <v>87</v>
      </c>
      <c r="AY199" s="196" t="s">
        <v>87</v>
      </c>
      <c r="AZ199" s="161" t="s">
        <v>87</v>
      </c>
      <c r="BA199" s="196" t="s">
        <v>87</v>
      </c>
      <c r="BB199" s="161" t="s">
        <v>87</v>
      </c>
      <c r="BC199" s="196" t="s">
        <v>87</v>
      </c>
      <c r="BD199" s="161" t="s">
        <v>87</v>
      </c>
      <c r="BE199" s="196" t="s">
        <v>87</v>
      </c>
      <c r="BF199" s="161" t="s">
        <v>87</v>
      </c>
      <c r="BG199" s="188" t="s">
        <v>87</v>
      </c>
      <c r="BH199" s="161" t="s">
        <v>87</v>
      </c>
    </row>
    <row r="200" spans="32:60" ht="15.75" thickTop="1" x14ac:dyDescent="0.25"/>
  </sheetData>
  <sheetProtection algorithmName="SHA-512" hashValue="YPJr2lWKSOTBRMRA8uydxE3c7W8pI5RbP4M1FTWYd2K0vVBBilYWxgdaD3Rcfq/Q6mkYd69lptj8Otf06C+mig==" saltValue="jtr6WYnKcrRwK2pd0t/AVA==" spinCount="100000" sheet="1" selectLockedCells="1"/>
  <mergeCells count="78">
    <mergeCell ref="A76:A77"/>
    <mergeCell ref="E76:E77"/>
    <mergeCell ref="G76:G77"/>
    <mergeCell ref="N85:N93"/>
    <mergeCell ref="B29:B30"/>
    <mergeCell ref="B54:G54"/>
    <mergeCell ref="N55:N63"/>
    <mergeCell ref="N65:N73"/>
    <mergeCell ref="N75:N83"/>
    <mergeCell ref="B47:G47"/>
    <mergeCell ref="H76:H77"/>
    <mergeCell ref="B48:G48"/>
    <mergeCell ref="B49:G49"/>
    <mergeCell ref="B50:G50"/>
    <mergeCell ref="B51:G51"/>
    <mergeCell ref="B52:G52"/>
    <mergeCell ref="B53:G53"/>
    <mergeCell ref="C30:E30"/>
    <mergeCell ref="C31:E31"/>
    <mergeCell ref="V26:V27"/>
    <mergeCell ref="C27:E27"/>
    <mergeCell ref="C28:E28"/>
    <mergeCell ref="C29:E29"/>
    <mergeCell ref="P26:P27"/>
    <mergeCell ref="C21:E21"/>
    <mergeCell ref="P21:U21"/>
    <mergeCell ref="C24:E24"/>
    <mergeCell ref="C25:E25"/>
    <mergeCell ref="P25:V25"/>
    <mergeCell ref="AQ7:AR7"/>
    <mergeCell ref="AS7:AT7"/>
    <mergeCell ref="P22:P23"/>
    <mergeCell ref="T22:U23"/>
    <mergeCell ref="C23:E23"/>
    <mergeCell ref="C13:E13"/>
    <mergeCell ref="M13:M21"/>
    <mergeCell ref="N13:N21"/>
    <mergeCell ref="C14:E14"/>
    <mergeCell ref="C15:E15"/>
    <mergeCell ref="C16:E16"/>
    <mergeCell ref="F16:G16"/>
    <mergeCell ref="C17:E17"/>
    <mergeCell ref="P17:W17"/>
    <mergeCell ref="C19:E19"/>
    <mergeCell ref="C20:E20"/>
    <mergeCell ref="AU7:AV7"/>
    <mergeCell ref="AW7:AX7"/>
    <mergeCell ref="AY7:AZ7"/>
    <mergeCell ref="B1:G1"/>
    <mergeCell ref="B2:G2"/>
    <mergeCell ref="B3:E3"/>
    <mergeCell ref="F3:G3"/>
    <mergeCell ref="AF3:BH3"/>
    <mergeCell ref="BG7:BH7"/>
    <mergeCell ref="BC7:BD7"/>
    <mergeCell ref="BE7:BF7"/>
    <mergeCell ref="BA7:BB7"/>
    <mergeCell ref="AI7:AJ7"/>
    <mergeCell ref="AK7:AL7"/>
    <mergeCell ref="AM7:AN7"/>
    <mergeCell ref="AO7:AP7"/>
    <mergeCell ref="AP4:BB4"/>
    <mergeCell ref="C5:E5"/>
    <mergeCell ref="Z5:AD5"/>
    <mergeCell ref="AP5:AQ5"/>
    <mergeCell ref="AR5:AS5"/>
    <mergeCell ref="D12:E12"/>
    <mergeCell ref="C4:E4"/>
    <mergeCell ref="M4:M12"/>
    <mergeCell ref="N4:N12"/>
    <mergeCell ref="AI4:AJ4"/>
    <mergeCell ref="AA6:AD6"/>
    <mergeCell ref="AF6:AH6"/>
    <mergeCell ref="C8:E8"/>
    <mergeCell ref="C9:E9"/>
    <mergeCell ref="C10:E10"/>
    <mergeCell ref="C11:E11"/>
    <mergeCell ref="B6:G6"/>
  </mergeCells>
  <conditionalFormatting sqref="G8">
    <cfRule type="expression" dxfId="70" priority="70">
      <formula>(C8&gt;70)</formula>
    </cfRule>
  </conditionalFormatting>
  <conditionalFormatting sqref="G9">
    <cfRule type="expression" dxfId="69" priority="71">
      <formula>($C$9&lt;750)</formula>
    </cfRule>
  </conditionalFormatting>
  <conditionalFormatting sqref="G10">
    <cfRule type="expression" dxfId="68" priority="72">
      <formula>(C10="Fill 3:1")</formula>
    </cfRule>
  </conditionalFormatting>
  <conditionalFormatting sqref="F22">
    <cfRule type="expression" dxfId="67" priority="68">
      <formula>(C16&gt;E22)</formula>
    </cfRule>
  </conditionalFormatting>
  <conditionalFormatting sqref="F16:G16">
    <cfRule type="expression" dxfId="66" priority="17">
      <formula>(C10="Fill 3:1")</formula>
    </cfRule>
    <cfRule type="expression" dxfId="65" priority="69">
      <formula>(C16&gt;E22)</formula>
    </cfRule>
    <cfRule type="expression" dxfId="64" priority="74">
      <formula>(C16&lt;C22)</formula>
    </cfRule>
  </conditionalFormatting>
  <conditionalFormatting sqref="Q31">
    <cfRule type="expression" priority="67">
      <formula>"c12=""parallel"</formula>
    </cfRule>
  </conditionalFormatting>
  <conditionalFormatting sqref="P21:U21">
    <cfRule type="expression" dxfId="63" priority="66">
      <formula>(C14="parallel")</formula>
    </cfRule>
  </conditionalFormatting>
  <conditionalFormatting sqref="P22:U23">
    <cfRule type="expression" dxfId="62" priority="65">
      <formula>(C14="parallel")</formula>
    </cfRule>
  </conditionalFormatting>
  <conditionalFormatting sqref="Q22:U23">
    <cfRule type="expression" dxfId="61" priority="64">
      <formula>(C14="parallel")</formula>
    </cfRule>
  </conditionalFormatting>
  <conditionalFormatting sqref="Q23">
    <cfRule type="expression" dxfId="60" priority="63">
      <formula>(C14="parallel")</formula>
    </cfRule>
  </conditionalFormatting>
  <conditionalFormatting sqref="R22">
    <cfRule type="expression" dxfId="59" priority="62">
      <formula>(C14="parallel")</formula>
    </cfRule>
  </conditionalFormatting>
  <conditionalFormatting sqref="R23">
    <cfRule type="expression" dxfId="58" priority="61">
      <formula>(C14="parallel")</formula>
    </cfRule>
  </conditionalFormatting>
  <conditionalFormatting sqref="S22">
    <cfRule type="expression" dxfId="57" priority="60">
      <formula>(C14="parallel")</formula>
    </cfRule>
  </conditionalFormatting>
  <conditionalFormatting sqref="S23">
    <cfRule type="expression" dxfId="56" priority="59">
      <formula>(C14="parallel")</formula>
    </cfRule>
  </conditionalFormatting>
  <conditionalFormatting sqref="T22:U23">
    <cfRule type="expression" dxfId="55" priority="58">
      <formula>(C14="parallel")</formula>
    </cfRule>
  </conditionalFormatting>
  <conditionalFormatting sqref="P25:V25">
    <cfRule type="expression" dxfId="54" priority="38">
      <formula>(C14="flared / semi rigid")</formula>
    </cfRule>
    <cfRule type="expression" dxfId="53" priority="57">
      <formula>(C14="flared / rigid")</formula>
    </cfRule>
  </conditionalFormatting>
  <conditionalFormatting sqref="P26:P27">
    <cfRule type="expression" dxfId="52" priority="36">
      <formula>(C14="flared / semi rigid")</formula>
    </cfRule>
    <cfRule type="expression" dxfId="51" priority="37">
      <formula>(C14="flared / rigid")</formula>
    </cfRule>
  </conditionalFormatting>
  <conditionalFormatting sqref="Q26">
    <cfRule type="expression" dxfId="50" priority="34">
      <formula>(C14="flared / semi rigid")</formula>
    </cfRule>
    <cfRule type="expression" dxfId="49" priority="56">
      <formula>(C14="flared / rigid")</formula>
    </cfRule>
  </conditionalFormatting>
  <conditionalFormatting sqref="Q27">
    <cfRule type="expression" dxfId="48" priority="33">
      <formula>(C14="flared / semi rigid")</formula>
    </cfRule>
    <cfRule type="expression" dxfId="47" priority="55">
      <formula>(C14="flared / rigid")</formula>
    </cfRule>
  </conditionalFormatting>
  <conditionalFormatting sqref="R26">
    <cfRule type="expression" dxfId="46" priority="31">
      <formula>(C14="flared / semi rigid")</formula>
    </cfRule>
    <cfRule type="expression" dxfId="45" priority="54">
      <formula>(C14="flared / rigid")</formula>
    </cfRule>
  </conditionalFormatting>
  <conditionalFormatting sqref="R27">
    <cfRule type="expression" dxfId="44" priority="30">
      <formula>(C14="flared / semi rigid")</formula>
    </cfRule>
    <cfRule type="expression" dxfId="43" priority="53">
      <formula>(C14="flared / rigid")</formula>
    </cfRule>
  </conditionalFormatting>
  <conditionalFormatting sqref="S26:S27">
    <cfRule type="expression" dxfId="42" priority="52">
      <formula>(C14="flared / rigid")</formula>
    </cfRule>
  </conditionalFormatting>
  <conditionalFormatting sqref="S27">
    <cfRule type="expression" dxfId="41" priority="27">
      <formula>(C14="flared / semi rigid")</formula>
    </cfRule>
    <cfRule type="expression" dxfId="40" priority="51">
      <formula>(C14="flared / rigid")</formula>
    </cfRule>
  </conditionalFormatting>
  <conditionalFormatting sqref="T26">
    <cfRule type="expression" dxfId="39" priority="25">
      <formula>(C14="flared / semi rigid")</formula>
    </cfRule>
    <cfRule type="expression" dxfId="38" priority="50">
      <formula>(C14="flared / rigid")</formula>
    </cfRule>
  </conditionalFormatting>
  <conditionalFormatting sqref="T27">
    <cfRule type="expression" dxfId="37" priority="24">
      <formula>(C14="flared / semi rigid")</formula>
    </cfRule>
    <cfRule type="expression" dxfId="36" priority="49">
      <formula>(C14="flared / rigid")</formula>
    </cfRule>
  </conditionalFormatting>
  <conditionalFormatting sqref="U26">
    <cfRule type="expression" dxfId="35" priority="22">
      <formula>(C14="flared / semi rigid")</formula>
    </cfRule>
    <cfRule type="expression" dxfId="34" priority="48">
      <formula>(C14="flared / rigid")</formula>
    </cfRule>
  </conditionalFormatting>
  <conditionalFormatting sqref="U27">
    <cfRule type="expression" dxfId="33" priority="21">
      <formula>(C14="flared / semi rigid")</formula>
    </cfRule>
    <cfRule type="expression" dxfId="32" priority="47">
      <formula>(C14="flared / rigid")</formula>
    </cfRule>
  </conditionalFormatting>
  <conditionalFormatting sqref="V26:V27">
    <cfRule type="expression" dxfId="31" priority="19">
      <formula>(C14="flared / semi rigid")</formula>
    </cfRule>
    <cfRule type="expression" dxfId="30" priority="46">
      <formula>(C14="flared / rigid")</formula>
    </cfRule>
  </conditionalFormatting>
  <conditionalFormatting sqref="P28">
    <cfRule type="expression" dxfId="29" priority="35">
      <formula>(C14="flared / semi rigid")</formula>
    </cfRule>
    <cfRule type="expression" dxfId="28" priority="45">
      <formula>(C14="flared / rigid")</formula>
    </cfRule>
  </conditionalFormatting>
  <conditionalFormatting sqref="Q28">
    <cfRule type="expression" dxfId="27" priority="32">
      <formula>(C14="flared / semi rigid")</formula>
    </cfRule>
    <cfRule type="expression" dxfId="26" priority="44">
      <formula>(C14="flared / rigid")</formula>
    </cfRule>
  </conditionalFormatting>
  <conditionalFormatting sqref="R28">
    <cfRule type="expression" dxfId="25" priority="29">
      <formula>(C14="flared / semi rigid")</formula>
    </cfRule>
    <cfRule type="expression" dxfId="24" priority="43">
      <formula>(C14="flared / rigid")</formula>
    </cfRule>
  </conditionalFormatting>
  <conditionalFormatting sqref="S28">
    <cfRule type="expression" dxfId="23" priority="26">
      <formula>(C14="flared / semi rigid")</formula>
    </cfRule>
    <cfRule type="expression" dxfId="22" priority="42">
      <formula>(C14="flared / rigid")</formula>
    </cfRule>
  </conditionalFormatting>
  <conditionalFormatting sqref="T28">
    <cfRule type="expression" dxfId="21" priority="23">
      <formula>(C14="flared / semi rigid")</formula>
    </cfRule>
    <cfRule type="expression" dxfId="20" priority="41">
      <formula>(C14="flared / rigid")</formula>
    </cfRule>
  </conditionalFormatting>
  <conditionalFormatting sqref="U28">
    <cfRule type="expression" dxfId="19" priority="20">
      <formula>(C14="flared / semi rigid")</formula>
    </cfRule>
    <cfRule type="expression" dxfId="18" priority="40">
      <formula>(C14="flared / rigid")</formula>
    </cfRule>
  </conditionalFormatting>
  <conditionalFormatting sqref="V28">
    <cfRule type="expression" dxfId="17" priority="18">
      <formula>(C14="flared / semi rigid")</formula>
    </cfRule>
    <cfRule type="expression" dxfId="16" priority="39">
      <formula>(C14="flared / rigid")</formula>
    </cfRule>
  </conditionalFormatting>
  <conditionalFormatting sqref="S26">
    <cfRule type="expression" dxfId="15" priority="28">
      <formula>(C14="flared / semi rigid")</formula>
    </cfRule>
  </conditionalFormatting>
  <conditionalFormatting sqref="F22">
    <cfRule type="expression" dxfId="14" priority="73">
      <formula>(C16&lt;C22)</formula>
    </cfRule>
  </conditionalFormatting>
  <conditionalFormatting sqref="G22">
    <cfRule type="expression" dxfId="13" priority="16">
      <formula>(C16&lt;C22)</formula>
    </cfRule>
    <cfRule type="expression" dxfId="12" priority="1">
      <formula>(C16&gt;E22)</formula>
    </cfRule>
  </conditionalFormatting>
  <conditionalFormatting sqref="F15">
    <cfRule type="expression" dxfId="11" priority="15">
      <formula>(AI5="-")</formula>
    </cfRule>
  </conditionalFormatting>
  <conditionalFormatting sqref="G15">
    <cfRule type="expression" dxfId="10" priority="14">
      <formula>AI5="-"</formula>
    </cfRule>
  </conditionalFormatting>
  <conditionalFormatting sqref="F8">
    <cfRule type="expression" dxfId="9" priority="13">
      <formula>AI5="-"</formula>
    </cfRule>
  </conditionalFormatting>
  <conditionalFormatting sqref="F31">
    <cfRule type="expression" dxfId="8" priority="12">
      <formula>C24&lt;=0</formula>
    </cfRule>
  </conditionalFormatting>
  <conditionalFormatting sqref="G17">
    <cfRule type="expression" dxfId="7" priority="11">
      <formula>C17&gt;=C16</formula>
    </cfRule>
  </conditionalFormatting>
  <conditionalFormatting sqref="F24">
    <cfRule type="expression" dxfId="6" priority="10">
      <formula>C17&gt;=C16</formula>
    </cfRule>
  </conditionalFormatting>
  <conditionalFormatting sqref="G24">
    <cfRule type="expression" dxfId="5" priority="9">
      <formula>C17&gt;=C16</formula>
    </cfRule>
  </conditionalFormatting>
  <conditionalFormatting sqref="C19:E19">
    <cfRule type="expression" dxfId="4" priority="8">
      <formula>(C14="PARALLEL")</formula>
    </cfRule>
  </conditionalFormatting>
  <conditionalFormatting sqref="F19">
    <cfRule type="expression" dxfId="3" priority="7">
      <formula>(C14="parallel")</formula>
    </cfRule>
  </conditionalFormatting>
  <conditionalFormatting sqref="G12">
    <cfRule type="expression" dxfId="2" priority="6">
      <formula>D12="Safety Barrier-Extended Curb"</formula>
    </cfRule>
  </conditionalFormatting>
  <conditionalFormatting sqref="G31">
    <cfRule type="expression" dxfId="1" priority="3">
      <formula>D31="Safety Barrier-Extended Curb"</formula>
    </cfRule>
    <cfRule type="expression" dxfId="0" priority="2">
      <formula>D12="Safety Barrier-Extended Curb"</formula>
    </cfRule>
  </conditionalFormatting>
  <dataValidations count="10">
    <dataValidation type="list" showInputMessage="1" showErrorMessage="1" sqref="C15" xr:uid="{00000000-0002-0000-0000-000000000000}">
      <formula1>$J$35:$J$47</formula1>
    </dataValidation>
    <dataValidation type="list" allowBlank="1" showInputMessage="1" showErrorMessage="1" sqref="C16" xr:uid="{00000000-0002-0000-0000-000001000000}">
      <formula1>$K$6:$K$99</formula1>
    </dataValidation>
    <dataValidation type="list" showInputMessage="1" showErrorMessage="1" sqref="C14" xr:uid="{00000000-0002-0000-0000-000002000000}">
      <formula1>Barrier</formula1>
    </dataValidation>
    <dataValidation type="list" showInputMessage="1" showErrorMessage="1" sqref="C11" xr:uid="{00000000-0002-0000-0000-000003000000}">
      <formula1>direction</formula1>
    </dataValidation>
    <dataValidation type="list" showInputMessage="1" showErrorMessage="1" sqref="C10" xr:uid="{00000000-0002-0000-0000-000004000000}">
      <formula1>slope</formula1>
    </dataValidation>
    <dataValidation type="list" showInputMessage="1" showErrorMessage="1" sqref="C13" xr:uid="{00000000-0002-0000-0000-000005000000}">
      <formula1>_Rail</formula1>
    </dataValidation>
    <dataValidation type="list" showInputMessage="1" showErrorMessage="1" sqref="C12" xr:uid="{00000000-0002-0000-0000-000006000000}">
      <formula1>YESNO</formula1>
    </dataValidation>
    <dataValidation type="list" showInputMessage="1" showErrorMessage="1" sqref="C8" xr:uid="{00000000-0002-0000-0000-000007000000}">
      <formula1>SPEED</formula1>
    </dataValidation>
    <dataValidation type="list" showInputMessage="1" showErrorMessage="1" sqref="C17:E17" xr:uid="{00000000-0002-0000-0000-000008000000}">
      <formula1>$L$6:$L$46</formula1>
    </dataValidation>
    <dataValidation type="list" allowBlank="1" showInputMessage="1" showErrorMessage="1" sqref="D12:E12" xr:uid="{3B9D48E5-8FE8-479A-A8F6-15E5C72C221A}">
      <formula1>$J$7:$J$9</formula1>
    </dataValidation>
  </dataValidations>
  <hyperlinks>
    <hyperlink ref="G26" r:id="rId1" display="MODT'S QUALIFIED PRODUCTS LISTING" xr:uid="{00000000-0004-0000-0000-000000000000}"/>
    <hyperlink ref="F26" r:id="rId2" xr:uid="{00000000-0004-0000-0000-000001000000}"/>
    <hyperlink ref="D26" r:id="rId3" xr:uid="{00000000-0004-0000-0000-000002000000}"/>
    <hyperlink ref="F3:G3" r:id="rId4" display="Engineering Policy Revision Request Form" xr:uid="{00000000-0004-0000-0000-000003000000}"/>
    <hyperlink ref="B3:E3" r:id="rId5" display="mailto:Engineering Policy &lt;engineering.policy@modot.mo.gov&gt;" xr:uid="{00000000-0004-0000-0000-000004000000}"/>
  </hyperlinks>
  <pageMargins left="0.7" right="0.7" top="0.75" bottom="0.75" header="0.3" footer="0.3"/>
  <pageSetup scale="55" fitToHeight="0" orientation="portrait" r:id="rId6"/>
  <drawing r:id="rId7"/>
  <legacy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14"/>
  <sheetViews>
    <sheetView workbookViewId="0">
      <selection activeCell="L30" sqref="L30"/>
    </sheetView>
  </sheetViews>
  <sheetFormatPr defaultRowHeight="15" x14ac:dyDescent="0.25"/>
  <cols>
    <col min="1" max="1" width="42.5703125" customWidth="1"/>
  </cols>
  <sheetData>
    <row r="1" spans="1:1" ht="76.5" customHeight="1" thickBot="1" x14ac:dyDescent="0.3">
      <c r="A1" s="280" t="s">
        <v>174</v>
      </c>
    </row>
    <row r="2" spans="1:1" ht="15.75" thickBot="1" x14ac:dyDescent="0.3"/>
    <row r="3" spans="1:1" ht="54.75" customHeight="1" thickBot="1" x14ac:dyDescent="0.3">
      <c r="A3" s="280" t="s">
        <v>175</v>
      </c>
    </row>
    <row r="5" spans="1:1" x14ac:dyDescent="0.25">
      <c r="A5" s="287"/>
    </row>
    <row r="6" spans="1:1" x14ac:dyDescent="0.25">
      <c r="A6" s="287"/>
    </row>
    <row r="7" spans="1:1" x14ac:dyDescent="0.25">
      <c r="A7" s="287"/>
    </row>
    <row r="8" spans="1:1" x14ac:dyDescent="0.25">
      <c r="A8" s="287"/>
    </row>
    <row r="9" spans="1:1" x14ac:dyDescent="0.25">
      <c r="A9" s="287"/>
    </row>
    <row r="10" spans="1:1" x14ac:dyDescent="0.25">
      <c r="A10" s="287"/>
    </row>
    <row r="11" spans="1:1" x14ac:dyDescent="0.25">
      <c r="A11" s="287"/>
    </row>
    <row r="12" spans="1:1" x14ac:dyDescent="0.25">
      <c r="A12" s="287"/>
    </row>
    <row r="13" spans="1:1" x14ac:dyDescent="0.25">
      <c r="A13" s="287"/>
    </row>
    <row r="14" spans="1:1" ht="21" x14ac:dyDescent="0.25">
      <c r="A14" s="288"/>
    </row>
  </sheetData>
  <sheetProtection password="C718" sheet="1" objects="1" scenarios="1" selectLockedCells="1" selectUnlockedCells="1"/>
  <hyperlinks>
    <hyperlink ref="A1" r:id="rId1" xr:uid="{00000000-0004-0000-0800-000000000000}"/>
    <hyperlink ref="A3" r:id="rId2" xr:uid="{00000000-0004-0000-0800-000001000000}"/>
  </hyperlinks>
  <pageMargins left="0.7" right="0.7" top="0.75" bottom="0.75" header="0.3" footer="0.3"/>
  <pageSetup orientation="portrait"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
  <sheetViews>
    <sheetView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9C6B27A-A9C5-48D3-A99E-8E10F332537E}">
  <dimension ref="A1:S44"/>
  <sheetViews>
    <sheetView showGridLines="0" topLeftCell="A13" zoomScaleNormal="100" workbookViewId="0">
      <selection activeCell="G33" sqref="G33"/>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x14ac:dyDescent="0.25">
      <c r="A1" s="344" t="s">
        <v>205</v>
      </c>
    </row>
    <row r="2" spans="1:19" x14ac:dyDescent="0.25">
      <c r="A2" s="344" t="s">
        <v>206</v>
      </c>
    </row>
    <row r="3" spans="1:19" x14ac:dyDescent="0.25">
      <c r="A3" s="344" t="s">
        <v>207</v>
      </c>
    </row>
    <row r="4" spans="1:19" x14ac:dyDescent="0.25">
      <c r="A4" s="345" t="s">
        <v>208</v>
      </c>
    </row>
    <row r="5" spans="1:19" x14ac:dyDescent="0.25">
      <c r="A5" s="346" t="s">
        <v>209</v>
      </c>
    </row>
    <row r="6" spans="1:19" x14ac:dyDescent="0.25">
      <c r="A6" s="344"/>
    </row>
    <row r="7" spans="1:19" ht="20.100000000000001" customHeight="1" x14ac:dyDescent="0.25">
      <c r="A7" s="465" t="s">
        <v>199</v>
      </c>
      <c r="B7" s="473"/>
      <c r="C7" s="473"/>
      <c r="D7" s="473"/>
      <c r="E7" s="473"/>
      <c r="F7" s="473"/>
      <c r="G7" s="473"/>
      <c r="H7" s="474"/>
      <c r="J7" s="359"/>
      <c r="K7" s="475"/>
      <c r="L7" s="475"/>
      <c r="M7" s="475"/>
      <c r="N7" s="475"/>
      <c r="O7" s="475"/>
      <c r="P7" s="475"/>
      <c r="Q7" s="475"/>
      <c r="R7" s="281"/>
      <c r="S7" s="281"/>
    </row>
    <row r="8" spans="1:19" x14ac:dyDescent="0.25">
      <c r="A8" s="86"/>
      <c r="B8" s="86"/>
      <c r="C8" s="476" t="s">
        <v>67</v>
      </c>
      <c r="D8" s="476"/>
      <c r="E8" s="476"/>
      <c r="F8" s="476" t="s">
        <v>68</v>
      </c>
      <c r="G8" s="476"/>
      <c r="H8" s="476"/>
      <c r="J8" s="477"/>
      <c r="K8" s="478"/>
      <c r="L8" s="478"/>
      <c r="M8" s="478"/>
      <c r="N8" s="478"/>
      <c r="O8" s="478"/>
      <c r="P8" s="478"/>
      <c r="Q8" s="478"/>
      <c r="R8" s="281"/>
      <c r="S8" s="281"/>
    </row>
    <row r="9" spans="1:19" ht="32.25" customHeight="1" x14ac:dyDescent="0.25">
      <c r="A9" s="87" t="s">
        <v>66</v>
      </c>
      <c r="B9" s="87" t="s">
        <v>60</v>
      </c>
      <c r="C9" s="88" t="s">
        <v>17</v>
      </c>
      <c r="D9" s="328" t="s">
        <v>69</v>
      </c>
      <c r="E9" s="90" t="s">
        <v>15</v>
      </c>
      <c r="F9" s="328" t="s">
        <v>18</v>
      </c>
      <c r="G9" s="328" t="s">
        <v>70</v>
      </c>
      <c r="H9" s="328" t="s">
        <v>20</v>
      </c>
      <c r="J9" s="326"/>
      <c r="K9" s="477"/>
      <c r="L9" s="479"/>
      <c r="M9" s="479"/>
      <c r="N9" s="479"/>
      <c r="O9" s="479"/>
      <c r="P9" s="479"/>
      <c r="Q9" s="479"/>
      <c r="R9" s="281"/>
      <c r="S9" s="281"/>
    </row>
    <row r="10" spans="1:19" x14ac:dyDescent="0.25">
      <c r="A10" s="480" t="s">
        <v>187</v>
      </c>
      <c r="B10" s="91" t="s">
        <v>89</v>
      </c>
      <c r="C10" s="93" t="s">
        <v>188</v>
      </c>
      <c r="D10" s="93" t="s">
        <v>189</v>
      </c>
      <c r="E10" s="91" t="s">
        <v>72</v>
      </c>
      <c r="F10" s="93" t="s">
        <v>188</v>
      </c>
      <c r="G10" s="93" t="s">
        <v>188</v>
      </c>
      <c r="H10" s="93" t="s">
        <v>189</v>
      </c>
      <c r="J10" s="324"/>
      <c r="K10" s="283"/>
      <c r="L10" s="284"/>
      <c r="M10" s="284"/>
      <c r="N10" s="283"/>
      <c r="O10" s="284"/>
      <c r="P10" s="284"/>
      <c r="Q10" s="284"/>
      <c r="R10" s="281"/>
      <c r="S10" s="281"/>
    </row>
    <row r="11" spans="1:19" x14ac:dyDescent="0.25">
      <c r="A11" s="480"/>
      <c r="B11" s="94" t="s">
        <v>31</v>
      </c>
      <c r="C11" s="95" t="s">
        <v>189</v>
      </c>
      <c r="D11" s="96" t="s">
        <v>192</v>
      </c>
      <c r="E11" s="94" t="s">
        <v>72</v>
      </c>
      <c r="F11" s="97" t="s">
        <v>188</v>
      </c>
      <c r="G11" s="97" t="s">
        <v>188</v>
      </c>
      <c r="H11" s="97" t="s">
        <v>189</v>
      </c>
      <c r="J11" s="326"/>
      <c r="K11" s="285"/>
      <c r="L11" s="286"/>
      <c r="M11" s="286"/>
      <c r="N11" s="285"/>
      <c r="O11" s="286"/>
      <c r="P11" s="286"/>
      <c r="Q11" s="286"/>
      <c r="R11" s="281"/>
      <c r="S11" s="281"/>
    </row>
    <row r="12" spans="1:19" x14ac:dyDescent="0.25">
      <c r="A12" s="480"/>
      <c r="B12" s="94" t="s">
        <v>32</v>
      </c>
      <c r="C12" s="95" t="s">
        <v>192</v>
      </c>
      <c r="D12" s="96" t="s">
        <v>193</v>
      </c>
      <c r="E12" s="94" t="s">
        <v>72</v>
      </c>
      <c r="F12" s="96" t="s">
        <v>189</v>
      </c>
      <c r="G12" s="96" t="s">
        <v>189</v>
      </c>
      <c r="H12" s="96" t="s">
        <v>192</v>
      </c>
      <c r="J12" s="326"/>
      <c r="K12" s="285"/>
      <c r="L12" s="286"/>
      <c r="M12" s="286"/>
      <c r="N12" s="285"/>
      <c r="O12" s="286"/>
      <c r="P12" s="286"/>
      <c r="Q12" s="286"/>
      <c r="R12" s="281"/>
      <c r="S12" s="281"/>
    </row>
    <row r="13" spans="1:19" x14ac:dyDescent="0.25">
      <c r="A13" s="480"/>
      <c r="B13" s="98" t="s">
        <v>88</v>
      </c>
      <c r="C13" s="99" t="s">
        <v>194</v>
      </c>
      <c r="D13" s="100" t="s">
        <v>194</v>
      </c>
      <c r="E13" s="98" t="s">
        <v>72</v>
      </c>
      <c r="F13" s="100" t="s">
        <v>192</v>
      </c>
      <c r="G13" s="100" t="s">
        <v>192</v>
      </c>
      <c r="H13" s="100" t="s">
        <v>194</v>
      </c>
      <c r="J13" s="326"/>
      <c r="K13" s="285"/>
      <c r="L13" s="286"/>
      <c r="M13" s="286"/>
      <c r="N13" s="285"/>
      <c r="O13" s="286"/>
      <c r="P13" s="286"/>
      <c r="Q13" s="286"/>
      <c r="R13" s="281"/>
      <c r="S13" s="281"/>
    </row>
    <row r="14" spans="1:19" x14ac:dyDescent="0.25">
      <c r="A14" s="480" t="s">
        <v>190</v>
      </c>
      <c r="B14" s="91" t="s">
        <v>89</v>
      </c>
      <c r="C14" s="92" t="s">
        <v>189</v>
      </c>
      <c r="D14" s="93" t="s">
        <v>192</v>
      </c>
      <c r="E14" s="91" t="s">
        <v>72</v>
      </c>
      <c r="F14" s="93" t="s">
        <v>188</v>
      </c>
      <c r="G14" s="93" t="s">
        <v>188</v>
      </c>
      <c r="H14" s="93" t="s">
        <v>189</v>
      </c>
      <c r="J14" s="326"/>
      <c r="K14" s="285"/>
      <c r="L14" s="286"/>
      <c r="M14" s="286"/>
      <c r="N14" s="285"/>
      <c r="O14" s="286"/>
      <c r="P14" s="286"/>
      <c r="Q14" s="286"/>
      <c r="R14" s="281"/>
      <c r="S14" s="281"/>
    </row>
    <row r="15" spans="1:19" x14ac:dyDescent="0.25">
      <c r="A15" s="480"/>
      <c r="B15" s="94" t="s">
        <v>31</v>
      </c>
      <c r="C15" s="95" t="s">
        <v>192</v>
      </c>
      <c r="D15" s="96" t="s">
        <v>193</v>
      </c>
      <c r="E15" s="94" t="s">
        <v>72</v>
      </c>
      <c r="F15" s="96" t="s">
        <v>189</v>
      </c>
      <c r="G15" s="96" t="s">
        <v>189</v>
      </c>
      <c r="H15" s="96" t="s">
        <v>192</v>
      </c>
      <c r="J15" s="326"/>
      <c r="K15" s="285"/>
      <c r="L15" s="286"/>
      <c r="M15" s="286"/>
      <c r="N15" s="285"/>
      <c r="O15" s="286"/>
      <c r="P15" s="286"/>
      <c r="Q15" s="286"/>
      <c r="R15" s="281"/>
      <c r="S15" s="281"/>
    </row>
    <row r="16" spans="1:19" x14ac:dyDescent="0.25">
      <c r="A16" s="480"/>
      <c r="B16" s="94" t="s">
        <v>32</v>
      </c>
      <c r="C16" s="95" t="s">
        <v>194</v>
      </c>
      <c r="D16" s="96" t="s">
        <v>194</v>
      </c>
      <c r="E16" s="94" t="s">
        <v>72</v>
      </c>
      <c r="F16" s="96" t="s">
        <v>192</v>
      </c>
      <c r="G16" s="96" t="s">
        <v>192</v>
      </c>
      <c r="H16" s="96" t="s">
        <v>194</v>
      </c>
      <c r="J16" s="326"/>
      <c r="K16" s="285"/>
      <c r="L16" s="286"/>
      <c r="M16" s="286"/>
      <c r="N16" s="285"/>
      <c r="O16" s="286"/>
      <c r="P16" s="286"/>
      <c r="Q16" s="286"/>
      <c r="R16" s="281"/>
      <c r="S16" s="281"/>
    </row>
    <row r="17" spans="1:19" x14ac:dyDescent="0.25">
      <c r="A17" s="480"/>
      <c r="B17" s="98" t="s">
        <v>88</v>
      </c>
      <c r="C17" s="99" t="s">
        <v>194</v>
      </c>
      <c r="D17" s="100" t="s">
        <v>195</v>
      </c>
      <c r="E17" s="98" t="s">
        <v>72</v>
      </c>
      <c r="F17" s="100" t="s">
        <v>194</v>
      </c>
      <c r="G17" s="100" t="s">
        <v>194</v>
      </c>
      <c r="H17" s="100" t="s">
        <v>194</v>
      </c>
      <c r="J17" s="326"/>
      <c r="K17" s="285"/>
      <c r="L17" s="286"/>
      <c r="M17" s="286"/>
      <c r="N17" s="285"/>
      <c r="O17" s="286"/>
      <c r="P17" s="286"/>
      <c r="Q17" s="286"/>
      <c r="R17" s="281"/>
      <c r="S17" s="281"/>
    </row>
    <row r="18" spans="1:19" x14ac:dyDescent="0.25">
      <c r="A18" s="480" t="s">
        <v>191</v>
      </c>
      <c r="B18" s="91" t="s">
        <v>89</v>
      </c>
      <c r="C18" s="93" t="s">
        <v>192</v>
      </c>
      <c r="D18" s="96" t="s">
        <v>193</v>
      </c>
      <c r="E18" s="91" t="s">
        <v>72</v>
      </c>
      <c r="F18" s="93" t="s">
        <v>189</v>
      </c>
      <c r="G18" s="93" t="s">
        <v>189</v>
      </c>
      <c r="H18" s="93" t="s">
        <v>192</v>
      </c>
      <c r="J18" s="326"/>
      <c r="K18" s="285"/>
      <c r="L18" s="286"/>
      <c r="M18" s="286"/>
      <c r="N18" s="285"/>
      <c r="O18" s="286"/>
      <c r="P18" s="286"/>
      <c r="Q18" s="286"/>
      <c r="R18" s="281"/>
      <c r="S18" s="281"/>
    </row>
    <row r="19" spans="1:19" x14ac:dyDescent="0.25">
      <c r="A19" s="480"/>
      <c r="B19" s="94" t="s">
        <v>31</v>
      </c>
      <c r="C19" s="95" t="s">
        <v>194</v>
      </c>
      <c r="D19" s="96" t="s">
        <v>196</v>
      </c>
      <c r="E19" s="94" t="s">
        <v>72</v>
      </c>
      <c r="F19" s="96" t="s">
        <v>192</v>
      </c>
      <c r="G19" s="96" t="s">
        <v>192</v>
      </c>
      <c r="H19" s="96" t="s">
        <v>194</v>
      </c>
      <c r="J19" s="326"/>
      <c r="K19" s="285"/>
      <c r="L19" s="286"/>
      <c r="M19" s="286"/>
      <c r="N19" s="285"/>
      <c r="O19" s="286"/>
      <c r="P19" s="286"/>
      <c r="Q19" s="286"/>
      <c r="R19" s="281"/>
      <c r="S19" s="281"/>
    </row>
    <row r="20" spans="1:19" x14ac:dyDescent="0.25">
      <c r="A20" s="480"/>
      <c r="B20" s="94" t="s">
        <v>32</v>
      </c>
      <c r="C20" s="95" t="s">
        <v>195</v>
      </c>
      <c r="D20" s="96" t="s">
        <v>197</v>
      </c>
      <c r="E20" s="94" t="s">
        <v>72</v>
      </c>
      <c r="F20" s="96" t="s">
        <v>194</v>
      </c>
      <c r="G20" s="96" t="s">
        <v>194</v>
      </c>
      <c r="H20" s="96" t="s">
        <v>195</v>
      </c>
      <c r="J20" s="326"/>
      <c r="K20" s="285"/>
      <c r="L20" s="286"/>
      <c r="M20" s="286"/>
      <c r="N20" s="286"/>
      <c r="O20" s="286"/>
      <c r="P20" s="286"/>
      <c r="Q20" s="286"/>
      <c r="R20" s="281"/>
      <c r="S20" s="281"/>
    </row>
    <row r="21" spans="1:19" x14ac:dyDescent="0.25">
      <c r="A21" s="480"/>
      <c r="B21" s="98" t="s">
        <v>88</v>
      </c>
      <c r="C21" s="99" t="s">
        <v>197</v>
      </c>
      <c r="D21" s="100" t="s">
        <v>198</v>
      </c>
      <c r="E21" s="100" t="s">
        <v>72</v>
      </c>
      <c r="F21" s="100" t="s">
        <v>195</v>
      </c>
      <c r="G21" s="100" t="s">
        <v>195</v>
      </c>
      <c r="H21" s="100" t="s">
        <v>197</v>
      </c>
      <c r="J21" s="326"/>
      <c r="K21" s="285"/>
      <c r="L21" s="286"/>
      <c r="M21" s="286"/>
      <c r="N21" s="286"/>
      <c r="O21" s="286"/>
      <c r="P21" s="286"/>
      <c r="Q21" s="286"/>
      <c r="R21" s="281"/>
      <c r="S21" s="281"/>
    </row>
    <row r="22" spans="1:19" x14ac:dyDescent="0.25">
      <c r="A22" s="334" t="s">
        <v>200</v>
      </c>
      <c r="B22" s="329"/>
      <c r="C22" s="330"/>
      <c r="D22" s="330"/>
      <c r="E22" s="329"/>
      <c r="F22" s="330"/>
      <c r="G22" s="330"/>
      <c r="H22" s="330"/>
      <c r="J22" s="326"/>
      <c r="K22" s="285"/>
      <c r="L22" s="286"/>
      <c r="M22" s="286"/>
      <c r="N22" s="286"/>
      <c r="O22" s="286"/>
      <c r="P22" s="286"/>
      <c r="Q22" s="286"/>
      <c r="R22" s="281"/>
      <c r="S22" s="281"/>
    </row>
    <row r="23" spans="1:19" x14ac:dyDescent="0.25">
      <c r="A23" s="334"/>
      <c r="B23" s="31"/>
      <c r="C23" s="331"/>
      <c r="D23" s="332"/>
      <c r="E23" s="31"/>
      <c r="F23" s="332"/>
      <c r="G23" s="332"/>
      <c r="H23" s="332"/>
      <c r="J23" s="468"/>
      <c r="K23" s="469"/>
      <c r="L23" s="469"/>
      <c r="M23" s="469"/>
      <c r="N23" s="469"/>
      <c r="O23" s="469"/>
      <c r="P23" s="469"/>
      <c r="Q23" s="469"/>
      <c r="R23" s="281"/>
      <c r="S23" s="281"/>
    </row>
    <row r="24" spans="1:19" x14ac:dyDescent="0.25">
      <c r="A24" s="326"/>
      <c r="B24" s="31"/>
      <c r="C24" s="331"/>
      <c r="D24" s="332"/>
      <c r="E24" s="31"/>
      <c r="F24" s="332"/>
      <c r="G24" s="332"/>
      <c r="H24" s="332"/>
      <c r="J24" s="468"/>
      <c r="K24" s="469"/>
      <c r="L24" s="469"/>
      <c r="M24" s="469"/>
      <c r="N24" s="469"/>
      <c r="O24" s="469"/>
      <c r="P24" s="469"/>
      <c r="Q24" s="469"/>
      <c r="R24" s="281"/>
      <c r="S24" s="281"/>
    </row>
    <row r="25" spans="1:19" x14ac:dyDescent="0.25">
      <c r="A25" s="326"/>
      <c r="B25" s="31"/>
      <c r="C25" s="331"/>
      <c r="D25" s="332"/>
      <c r="E25" s="31"/>
      <c r="F25" s="332"/>
      <c r="G25" s="332"/>
      <c r="H25" s="332"/>
      <c r="J25" s="468"/>
      <c r="K25" s="469"/>
      <c r="L25" s="469"/>
      <c r="M25" s="469"/>
      <c r="N25" s="469"/>
      <c r="O25" s="469"/>
      <c r="P25" s="469"/>
      <c r="Q25" s="469"/>
      <c r="R25" s="281"/>
      <c r="S25" s="281"/>
    </row>
    <row r="26" spans="1:19" x14ac:dyDescent="0.25">
      <c r="A26" s="326"/>
      <c r="B26" s="31"/>
      <c r="C26" s="333"/>
      <c r="D26" s="333"/>
      <c r="E26" s="31"/>
      <c r="F26" s="333"/>
      <c r="G26" s="333"/>
      <c r="H26" s="333"/>
      <c r="J26" s="468"/>
      <c r="K26" s="469"/>
      <c r="L26" s="469"/>
      <c r="M26" s="469"/>
      <c r="N26" s="469"/>
      <c r="O26" s="469"/>
      <c r="P26" s="469"/>
      <c r="Q26" s="469"/>
      <c r="R26" s="281"/>
      <c r="S26" s="281"/>
    </row>
    <row r="27" spans="1:19" x14ac:dyDescent="0.25">
      <c r="A27" s="326"/>
      <c r="B27" s="31"/>
      <c r="C27" s="331"/>
      <c r="D27" s="332"/>
      <c r="E27" s="31"/>
      <c r="F27" s="332"/>
      <c r="G27" s="332"/>
      <c r="H27" s="332"/>
      <c r="J27" s="468"/>
      <c r="K27" s="468"/>
      <c r="L27" s="468"/>
      <c r="M27" s="468"/>
      <c r="N27" s="468"/>
      <c r="O27" s="468"/>
      <c r="P27" s="468"/>
      <c r="Q27" s="468"/>
      <c r="R27" s="281"/>
      <c r="S27" s="281"/>
    </row>
    <row r="28" spans="1:19" x14ac:dyDescent="0.25">
      <c r="A28" s="470" t="s">
        <v>201</v>
      </c>
      <c r="B28" s="471"/>
      <c r="C28" s="471"/>
      <c r="D28" s="471"/>
      <c r="E28" s="472"/>
      <c r="F28" s="338"/>
      <c r="G28" s="325"/>
      <c r="H28" s="325"/>
      <c r="J28" s="468"/>
      <c r="K28" s="468"/>
      <c r="L28" s="468"/>
      <c r="M28" s="468"/>
      <c r="N28" s="468"/>
      <c r="O28" s="468"/>
      <c r="P28" s="468"/>
      <c r="Q28" s="468"/>
      <c r="R28" s="281"/>
      <c r="S28" s="281"/>
    </row>
    <row r="29" spans="1:19" x14ac:dyDescent="0.25">
      <c r="A29" s="462" t="s">
        <v>202</v>
      </c>
      <c r="B29" s="463"/>
      <c r="C29" s="463"/>
      <c r="D29" s="463"/>
      <c r="E29" s="464"/>
      <c r="F29" s="339"/>
      <c r="G29" s="327"/>
      <c r="H29" s="327"/>
      <c r="J29" s="281"/>
      <c r="K29" s="281"/>
      <c r="L29" s="281"/>
      <c r="M29" s="281"/>
      <c r="N29" s="281"/>
      <c r="O29" s="281"/>
      <c r="P29" s="281"/>
      <c r="Q29" s="281"/>
      <c r="R29" s="281"/>
      <c r="S29" s="281"/>
    </row>
    <row r="30" spans="1:19" x14ac:dyDescent="0.25">
      <c r="A30" s="36" t="s">
        <v>90</v>
      </c>
      <c r="B30" s="465" t="s">
        <v>100</v>
      </c>
      <c r="C30" s="466"/>
      <c r="D30" s="466"/>
      <c r="E30" s="467"/>
      <c r="F30" s="339"/>
      <c r="G30" s="327"/>
      <c r="H30" s="327"/>
      <c r="J30" s="281"/>
      <c r="K30" s="281"/>
      <c r="L30" s="281"/>
      <c r="M30" s="281"/>
      <c r="N30" s="281"/>
      <c r="O30" s="281"/>
      <c r="P30" s="281"/>
      <c r="Q30" s="281"/>
      <c r="R30" s="281"/>
      <c r="S30" s="281"/>
    </row>
    <row r="31" spans="1:19" x14ac:dyDescent="0.25">
      <c r="A31" s="105" t="s">
        <v>101</v>
      </c>
      <c r="B31" s="101">
        <v>20</v>
      </c>
      <c r="C31" s="102">
        <v>25</v>
      </c>
      <c r="D31" s="102">
        <v>30</v>
      </c>
      <c r="E31" s="203">
        <v>35</v>
      </c>
      <c r="F31" s="335"/>
      <c r="G31" s="284"/>
      <c r="H31" s="284"/>
      <c r="J31" s="281"/>
      <c r="K31" s="281"/>
      <c r="L31" s="281"/>
      <c r="M31" s="281"/>
      <c r="N31" s="281"/>
      <c r="O31" s="281"/>
      <c r="P31" s="281"/>
      <c r="Q31" s="281"/>
      <c r="R31" s="281"/>
      <c r="S31" s="281"/>
    </row>
    <row r="32" spans="1:19" x14ac:dyDescent="0.25">
      <c r="A32" s="328">
        <v>1150</v>
      </c>
      <c r="B32" s="104" t="s">
        <v>153</v>
      </c>
      <c r="C32" s="104" t="s">
        <v>153</v>
      </c>
      <c r="D32" s="104" t="s">
        <v>153</v>
      </c>
      <c r="E32" s="337">
        <v>1.2</v>
      </c>
      <c r="F32" s="336"/>
      <c r="G32" s="286"/>
      <c r="H32" s="286"/>
      <c r="J32" s="281"/>
      <c r="K32" s="281"/>
      <c r="L32" s="281"/>
      <c r="M32" s="281"/>
      <c r="N32" s="281"/>
      <c r="O32" s="281"/>
      <c r="P32" s="281"/>
      <c r="Q32" s="281"/>
      <c r="R32" s="281"/>
      <c r="S32" s="281"/>
    </row>
    <row r="33" spans="1:19" x14ac:dyDescent="0.25">
      <c r="A33" s="328">
        <v>950</v>
      </c>
      <c r="B33" s="104" t="s">
        <v>153</v>
      </c>
      <c r="C33" s="104" t="s">
        <v>153</v>
      </c>
      <c r="D33" s="104">
        <v>1.2</v>
      </c>
      <c r="E33" s="337">
        <v>1.2</v>
      </c>
      <c r="F33" s="336"/>
      <c r="G33" s="286"/>
      <c r="H33" s="286"/>
      <c r="J33" s="281"/>
      <c r="K33" s="281"/>
      <c r="L33" s="281"/>
      <c r="M33" s="281"/>
      <c r="N33" s="281"/>
      <c r="O33" s="281"/>
      <c r="P33" s="281"/>
      <c r="Q33" s="281"/>
      <c r="R33" s="281"/>
      <c r="S33" s="281"/>
    </row>
    <row r="34" spans="1:19" x14ac:dyDescent="0.25">
      <c r="A34" s="328">
        <v>820</v>
      </c>
      <c r="B34" s="104" t="s">
        <v>153</v>
      </c>
      <c r="C34" s="104">
        <v>1.2</v>
      </c>
      <c r="D34" s="104">
        <v>1.2</v>
      </c>
      <c r="E34" s="337">
        <v>1.2</v>
      </c>
      <c r="F34" s="336"/>
      <c r="G34" s="286"/>
      <c r="H34" s="286"/>
    </row>
    <row r="35" spans="1:19" x14ac:dyDescent="0.25">
      <c r="A35" s="328">
        <v>720</v>
      </c>
      <c r="B35" s="104" t="s">
        <v>153</v>
      </c>
      <c r="C35" s="104">
        <v>1.2</v>
      </c>
      <c r="D35" s="104">
        <v>1.2</v>
      </c>
      <c r="E35" s="337">
        <v>1.3</v>
      </c>
      <c r="F35" s="336"/>
      <c r="G35" s="286"/>
      <c r="H35" s="286"/>
    </row>
    <row r="36" spans="1:19" ht="24.95" customHeight="1" x14ac:dyDescent="0.25">
      <c r="A36" s="328">
        <v>640</v>
      </c>
      <c r="B36" s="104" t="s">
        <v>153</v>
      </c>
      <c r="C36" s="104">
        <v>1.2</v>
      </c>
      <c r="D36" s="104">
        <v>1.3</v>
      </c>
      <c r="E36" s="337">
        <v>1.3</v>
      </c>
      <c r="F36" s="336"/>
      <c r="G36" s="286"/>
      <c r="H36" s="286"/>
    </row>
    <row r="37" spans="1:19" ht="24.95" customHeight="1" x14ac:dyDescent="0.25">
      <c r="A37" s="328">
        <v>570</v>
      </c>
      <c r="B37" s="104" t="s">
        <v>153</v>
      </c>
      <c r="C37" s="104">
        <v>1.3</v>
      </c>
      <c r="D37" s="104">
        <v>1.3</v>
      </c>
      <c r="E37" s="337">
        <v>1.4</v>
      </c>
      <c r="F37" s="336"/>
      <c r="G37" s="286"/>
      <c r="H37" s="286"/>
    </row>
    <row r="38" spans="1:19" ht="24.95" customHeight="1" x14ac:dyDescent="0.25">
      <c r="A38" s="328">
        <v>380</v>
      </c>
      <c r="B38" s="104" t="s">
        <v>153</v>
      </c>
      <c r="C38" s="104">
        <v>1.4</v>
      </c>
      <c r="D38" s="104">
        <v>1.4</v>
      </c>
      <c r="E38" s="337">
        <v>1.5</v>
      </c>
      <c r="F38" s="336"/>
      <c r="G38" s="286"/>
      <c r="H38" s="286"/>
    </row>
    <row r="39" spans="1:19" ht="24.95" customHeight="1" x14ac:dyDescent="0.25">
      <c r="A39" s="343" t="s">
        <v>102</v>
      </c>
      <c r="B39" s="340"/>
      <c r="C39" s="340"/>
      <c r="D39" s="340"/>
      <c r="E39" s="340"/>
      <c r="F39" s="341"/>
      <c r="G39" s="341"/>
      <c r="H39" s="341"/>
    </row>
    <row r="40" spans="1:19" ht="24.95" customHeight="1" x14ac:dyDescent="0.25">
      <c r="A40" s="342" t="s">
        <v>203</v>
      </c>
      <c r="B40" s="341"/>
      <c r="C40" s="341"/>
      <c r="D40" s="341"/>
      <c r="E40" s="341"/>
      <c r="F40" s="341"/>
      <c r="G40" s="341"/>
      <c r="H40" s="341"/>
    </row>
    <row r="41" spans="1:19" x14ac:dyDescent="0.25">
      <c r="A41" s="342" t="s">
        <v>103</v>
      </c>
      <c r="B41" s="341"/>
      <c r="C41" s="341"/>
      <c r="D41" s="341"/>
      <c r="E41" s="341"/>
      <c r="F41" s="341"/>
      <c r="G41" s="341"/>
      <c r="H41" s="341"/>
    </row>
    <row r="42" spans="1:19" x14ac:dyDescent="0.25">
      <c r="A42" s="342" t="s">
        <v>104</v>
      </c>
      <c r="B42" s="341"/>
      <c r="C42" s="341"/>
      <c r="D42" s="341"/>
      <c r="E42" s="341"/>
      <c r="F42" s="341"/>
      <c r="G42" s="341"/>
      <c r="H42" s="341"/>
    </row>
    <row r="43" spans="1:19" x14ac:dyDescent="0.25">
      <c r="A43" s="342" t="s">
        <v>204</v>
      </c>
      <c r="B43" s="342"/>
      <c r="C43" s="342"/>
      <c r="D43" s="342"/>
      <c r="E43" s="342"/>
      <c r="F43" s="342"/>
      <c r="G43" s="342"/>
      <c r="H43" s="342"/>
    </row>
    <row r="44" spans="1:19" x14ac:dyDescent="0.25">
      <c r="A44" s="342" t="s">
        <v>106</v>
      </c>
      <c r="B44" s="342"/>
      <c r="C44" s="342"/>
      <c r="D44" s="342"/>
      <c r="E44" s="342"/>
      <c r="F44" s="342"/>
      <c r="G44" s="342"/>
      <c r="H44" s="342"/>
    </row>
  </sheetData>
  <sheetProtection algorithmName="SHA-512" hashValue="3Ny8vWdnUqLcrWP5A02XDO3ZA+XSzoz6gAduz1igBxFT1jXQojVTd7bD3Y+4h9HNfiI+3T/05qSOPABjej/Jyg==" saltValue="Kuid5ET8PYzKyQ1eXsJKHw==" spinCount="100000" sheet="1" objects="1" scenarios="1" selectLockedCells="1"/>
  <mergeCells count="18">
    <mergeCell ref="J25:Q25"/>
    <mergeCell ref="A7:H7"/>
    <mergeCell ref="J7:Q7"/>
    <mergeCell ref="C8:E8"/>
    <mergeCell ref="F8:H8"/>
    <mergeCell ref="J8:Q8"/>
    <mergeCell ref="K9:Q9"/>
    <mergeCell ref="A10:A13"/>
    <mergeCell ref="A14:A17"/>
    <mergeCell ref="A18:A21"/>
    <mergeCell ref="J23:Q23"/>
    <mergeCell ref="J24:Q24"/>
    <mergeCell ref="A29:E29"/>
    <mergeCell ref="B30:E30"/>
    <mergeCell ref="J26:Q26"/>
    <mergeCell ref="J27:Q27"/>
    <mergeCell ref="J28:Q28"/>
    <mergeCell ref="A28:E28"/>
  </mergeCells>
  <phoneticPr fontId="37" type="noConversion"/>
  <pageMargins left="0.5" right="0" top="0.75" bottom="0.25" header="0.3" footer="0.3"/>
  <pageSetup scale="125" orientation="portrait" r:id="rId1"/>
  <drawing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1"/>
  <dimension ref="A1:S39"/>
  <sheetViews>
    <sheetView showGridLines="0" zoomScale="75" zoomScaleNormal="75" workbookViewId="0">
      <selection activeCell="L30" sqref="L30"/>
    </sheetView>
  </sheetViews>
  <sheetFormatPr defaultRowHeight="15" x14ac:dyDescent="0.25"/>
  <cols>
    <col min="1" max="1" width="10.28515625" style="1" customWidth="1"/>
    <col min="2" max="2" width="13.85546875" style="1" bestFit="1" customWidth="1"/>
    <col min="3" max="8" width="9.28515625" style="1" customWidth="1"/>
    <col min="9" max="9" width="14.7109375" style="1" customWidth="1"/>
    <col min="10" max="10" width="7.7109375" style="1" bestFit="1" customWidth="1"/>
    <col min="11" max="15" width="4.140625" style="1" bestFit="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1" spans="1:19" ht="20.100000000000001" customHeight="1" x14ac:dyDescent="0.25">
      <c r="A1" s="465" t="s">
        <v>108</v>
      </c>
      <c r="B1" s="473"/>
      <c r="C1" s="473"/>
      <c r="D1" s="473"/>
      <c r="E1" s="473"/>
      <c r="F1" s="473"/>
      <c r="G1" s="473"/>
      <c r="H1" s="474"/>
      <c r="J1" s="359"/>
      <c r="K1" s="475"/>
      <c r="L1" s="475"/>
      <c r="M1" s="475"/>
      <c r="N1" s="475"/>
      <c r="O1" s="475"/>
      <c r="P1" s="475"/>
      <c r="Q1" s="475"/>
      <c r="R1" s="281"/>
      <c r="S1" s="281"/>
    </row>
    <row r="2" spans="1:19" x14ac:dyDescent="0.25">
      <c r="A2" s="86"/>
      <c r="B2" s="86"/>
      <c r="C2" s="476" t="s">
        <v>67</v>
      </c>
      <c r="D2" s="476"/>
      <c r="E2" s="476"/>
      <c r="F2" s="476" t="s">
        <v>68</v>
      </c>
      <c r="G2" s="476"/>
      <c r="H2" s="476"/>
      <c r="J2" s="477"/>
      <c r="K2" s="478"/>
      <c r="L2" s="478"/>
      <c r="M2" s="478"/>
      <c r="N2" s="478"/>
      <c r="O2" s="478"/>
      <c r="P2" s="478"/>
      <c r="Q2" s="478"/>
      <c r="R2" s="281"/>
      <c r="S2" s="281"/>
    </row>
    <row r="3" spans="1:19" ht="32.25" customHeight="1" x14ac:dyDescent="0.25">
      <c r="A3" s="87" t="s">
        <v>66</v>
      </c>
      <c r="B3" s="87" t="s">
        <v>60</v>
      </c>
      <c r="C3" s="88" t="s">
        <v>17</v>
      </c>
      <c r="D3" s="89" t="s">
        <v>69</v>
      </c>
      <c r="E3" s="90" t="s">
        <v>15</v>
      </c>
      <c r="F3" s="89" t="s">
        <v>18</v>
      </c>
      <c r="G3" s="89" t="s">
        <v>70</v>
      </c>
      <c r="H3" s="89" t="s">
        <v>20</v>
      </c>
      <c r="J3" s="282"/>
      <c r="K3" s="477"/>
      <c r="L3" s="479"/>
      <c r="M3" s="479"/>
      <c r="N3" s="479"/>
      <c r="O3" s="479"/>
      <c r="P3" s="479"/>
      <c r="Q3" s="479"/>
      <c r="R3" s="281"/>
      <c r="S3" s="281"/>
    </row>
    <row r="4" spans="1:19" x14ac:dyDescent="0.25">
      <c r="A4" s="480" t="s">
        <v>71</v>
      </c>
      <c r="B4" s="91" t="s">
        <v>89</v>
      </c>
      <c r="C4" s="92" t="s">
        <v>35</v>
      </c>
      <c r="D4" s="93" t="s">
        <v>35</v>
      </c>
      <c r="E4" s="91" t="s">
        <v>72</v>
      </c>
      <c r="F4" s="93" t="s">
        <v>35</v>
      </c>
      <c r="G4" s="93" t="s">
        <v>35</v>
      </c>
      <c r="H4" s="93" t="s">
        <v>35</v>
      </c>
      <c r="J4" s="279"/>
      <c r="K4" s="283"/>
      <c r="L4" s="284"/>
      <c r="M4" s="284"/>
      <c r="N4" s="283"/>
      <c r="O4" s="284"/>
      <c r="P4" s="284"/>
      <c r="Q4" s="284"/>
      <c r="R4" s="281"/>
      <c r="S4" s="281"/>
    </row>
    <row r="5" spans="1:19" x14ac:dyDescent="0.25">
      <c r="A5" s="480"/>
      <c r="B5" s="94" t="s">
        <v>31</v>
      </c>
      <c r="C5" s="95" t="s">
        <v>36</v>
      </c>
      <c r="D5" s="96" t="s">
        <v>37</v>
      </c>
      <c r="E5" s="94" t="s">
        <v>72</v>
      </c>
      <c r="F5" s="97" t="s">
        <v>36</v>
      </c>
      <c r="G5" s="97" t="s">
        <v>36</v>
      </c>
      <c r="H5" s="97" t="s">
        <v>36</v>
      </c>
      <c r="J5" s="282"/>
      <c r="K5" s="285"/>
      <c r="L5" s="286"/>
      <c r="M5" s="286"/>
      <c r="N5" s="285"/>
      <c r="O5" s="286"/>
      <c r="P5" s="286"/>
      <c r="Q5" s="286"/>
      <c r="R5" s="281"/>
      <c r="S5" s="281"/>
    </row>
    <row r="6" spans="1:19" x14ac:dyDescent="0.25">
      <c r="A6" s="480"/>
      <c r="B6" s="94" t="s">
        <v>32</v>
      </c>
      <c r="C6" s="95" t="s">
        <v>37</v>
      </c>
      <c r="D6" s="96" t="s">
        <v>38</v>
      </c>
      <c r="E6" s="94" t="s">
        <v>72</v>
      </c>
      <c r="F6" s="96" t="s">
        <v>37</v>
      </c>
      <c r="G6" s="96" t="s">
        <v>37</v>
      </c>
      <c r="H6" s="96" t="s">
        <v>37</v>
      </c>
      <c r="J6" s="282"/>
      <c r="K6" s="285"/>
      <c r="L6" s="286"/>
      <c r="M6" s="286"/>
      <c r="N6" s="285"/>
      <c r="O6" s="286"/>
      <c r="P6" s="286"/>
      <c r="Q6" s="286"/>
      <c r="R6" s="281"/>
      <c r="S6" s="281"/>
    </row>
    <row r="7" spans="1:19" x14ac:dyDescent="0.25">
      <c r="A7" s="480"/>
      <c r="B7" s="98" t="s">
        <v>88</v>
      </c>
      <c r="C7" s="99" t="s">
        <v>38</v>
      </c>
      <c r="D7" s="100" t="s">
        <v>39</v>
      </c>
      <c r="E7" s="98" t="s">
        <v>72</v>
      </c>
      <c r="F7" s="100" t="s">
        <v>38</v>
      </c>
      <c r="G7" s="100" t="s">
        <v>38</v>
      </c>
      <c r="H7" s="100" t="s">
        <v>38</v>
      </c>
      <c r="J7" s="282"/>
      <c r="K7" s="285"/>
      <c r="L7" s="286"/>
      <c r="M7" s="286"/>
      <c r="N7" s="285"/>
      <c r="O7" s="286"/>
      <c r="P7" s="286"/>
      <c r="Q7" s="286"/>
      <c r="R7" s="281"/>
      <c r="S7" s="281"/>
    </row>
    <row r="8" spans="1:19" x14ac:dyDescent="0.25">
      <c r="A8" s="480" t="s">
        <v>73</v>
      </c>
      <c r="B8" s="91" t="s">
        <v>89</v>
      </c>
      <c r="C8" s="92" t="s">
        <v>36</v>
      </c>
      <c r="D8" s="93" t="s">
        <v>37</v>
      </c>
      <c r="E8" s="91" t="s">
        <v>72</v>
      </c>
      <c r="F8" s="93" t="s">
        <v>52</v>
      </c>
      <c r="G8" s="93" t="s">
        <v>52</v>
      </c>
      <c r="H8" s="93" t="s">
        <v>36</v>
      </c>
      <c r="J8" s="282"/>
      <c r="K8" s="285"/>
      <c r="L8" s="286"/>
      <c r="M8" s="286"/>
      <c r="N8" s="285"/>
      <c r="O8" s="286"/>
      <c r="P8" s="286"/>
      <c r="Q8" s="286"/>
      <c r="R8" s="281"/>
      <c r="S8" s="281"/>
    </row>
    <row r="9" spans="1:19" x14ac:dyDescent="0.25">
      <c r="A9" s="480"/>
      <c r="B9" s="94" t="s">
        <v>31</v>
      </c>
      <c r="C9" s="95" t="s">
        <v>38</v>
      </c>
      <c r="D9" s="96" t="s">
        <v>46</v>
      </c>
      <c r="E9" s="94" t="s">
        <v>72</v>
      </c>
      <c r="F9" s="96" t="s">
        <v>36</v>
      </c>
      <c r="G9" s="96" t="s">
        <v>37</v>
      </c>
      <c r="H9" s="96" t="s">
        <v>38</v>
      </c>
      <c r="J9" s="282"/>
      <c r="K9" s="285"/>
      <c r="L9" s="286"/>
      <c r="M9" s="286"/>
      <c r="N9" s="285"/>
      <c r="O9" s="286"/>
      <c r="P9" s="286"/>
      <c r="Q9" s="286"/>
      <c r="R9" s="281"/>
      <c r="S9" s="281"/>
    </row>
    <row r="10" spans="1:19" x14ac:dyDescent="0.25">
      <c r="A10" s="480"/>
      <c r="B10" s="94" t="s">
        <v>32</v>
      </c>
      <c r="C10" s="95" t="s">
        <v>39</v>
      </c>
      <c r="D10" s="96" t="s">
        <v>47</v>
      </c>
      <c r="E10" s="94" t="s">
        <v>72</v>
      </c>
      <c r="F10" s="96" t="s">
        <v>37</v>
      </c>
      <c r="G10" s="96" t="s">
        <v>38</v>
      </c>
      <c r="H10" s="96" t="s">
        <v>39</v>
      </c>
      <c r="J10" s="282"/>
      <c r="K10" s="285"/>
      <c r="L10" s="286"/>
      <c r="M10" s="286"/>
      <c r="N10" s="285"/>
      <c r="O10" s="286"/>
      <c r="P10" s="286"/>
      <c r="Q10" s="286"/>
      <c r="R10" s="281"/>
      <c r="S10" s="281"/>
    </row>
    <row r="11" spans="1:19" x14ac:dyDescent="0.25">
      <c r="A11" s="480"/>
      <c r="B11" s="98" t="s">
        <v>88</v>
      </c>
      <c r="C11" s="99" t="s">
        <v>40</v>
      </c>
      <c r="D11" s="100" t="s">
        <v>48</v>
      </c>
      <c r="E11" s="98" t="s">
        <v>72</v>
      </c>
      <c r="F11" s="100" t="s">
        <v>38</v>
      </c>
      <c r="G11" s="100" t="s">
        <v>44</v>
      </c>
      <c r="H11" s="100" t="s">
        <v>40</v>
      </c>
      <c r="J11" s="282"/>
      <c r="K11" s="285"/>
      <c r="L11" s="286"/>
      <c r="M11" s="286"/>
      <c r="N11" s="285"/>
      <c r="O11" s="286"/>
      <c r="P11" s="286"/>
      <c r="Q11" s="286"/>
      <c r="R11" s="281"/>
      <c r="S11" s="281"/>
    </row>
    <row r="12" spans="1:19" x14ac:dyDescent="0.25">
      <c r="A12" s="480" t="s">
        <v>74</v>
      </c>
      <c r="B12" s="91" t="s">
        <v>89</v>
      </c>
      <c r="C12" s="93" t="s">
        <v>37</v>
      </c>
      <c r="D12" s="93" t="s">
        <v>49</v>
      </c>
      <c r="E12" s="91" t="s">
        <v>72</v>
      </c>
      <c r="F12" s="93" t="s">
        <v>52</v>
      </c>
      <c r="G12" s="93" t="s">
        <v>36</v>
      </c>
      <c r="H12" s="93" t="s">
        <v>36</v>
      </c>
      <c r="J12" s="282"/>
      <c r="K12" s="285"/>
      <c r="L12" s="286"/>
      <c r="M12" s="286"/>
      <c r="N12" s="285"/>
      <c r="O12" s="286"/>
      <c r="P12" s="286"/>
      <c r="Q12" s="286"/>
      <c r="R12" s="281"/>
      <c r="S12" s="281"/>
    </row>
    <row r="13" spans="1:19" x14ac:dyDescent="0.25">
      <c r="A13" s="480"/>
      <c r="B13" s="94" t="s">
        <v>31</v>
      </c>
      <c r="C13" s="95" t="s">
        <v>39</v>
      </c>
      <c r="D13" s="96" t="s">
        <v>42</v>
      </c>
      <c r="E13" s="94" t="s">
        <v>72</v>
      </c>
      <c r="F13" s="96" t="s">
        <v>36</v>
      </c>
      <c r="G13" s="96" t="s">
        <v>38</v>
      </c>
      <c r="H13" s="96" t="s">
        <v>39</v>
      </c>
      <c r="J13" s="282"/>
      <c r="K13" s="285"/>
      <c r="L13" s="286"/>
      <c r="M13" s="286"/>
      <c r="N13" s="285"/>
      <c r="O13" s="286"/>
      <c r="P13" s="286"/>
      <c r="Q13" s="286"/>
      <c r="R13" s="281"/>
      <c r="S13" s="281"/>
    </row>
    <row r="14" spans="1:19" x14ac:dyDescent="0.25">
      <c r="A14" s="480"/>
      <c r="B14" s="94" t="s">
        <v>32</v>
      </c>
      <c r="C14" s="95" t="s">
        <v>40</v>
      </c>
      <c r="D14" s="96" t="s">
        <v>50</v>
      </c>
      <c r="E14" s="94" t="s">
        <v>72</v>
      </c>
      <c r="F14" s="96" t="s">
        <v>38</v>
      </c>
      <c r="G14" s="96" t="s">
        <v>39</v>
      </c>
      <c r="H14" s="96" t="s">
        <v>40</v>
      </c>
      <c r="J14" s="282"/>
      <c r="K14" s="285"/>
      <c r="L14" s="286"/>
      <c r="M14" s="286"/>
      <c r="N14" s="286"/>
      <c r="O14" s="286"/>
      <c r="P14" s="286"/>
      <c r="Q14" s="286"/>
      <c r="R14" s="281"/>
      <c r="S14" s="281"/>
    </row>
    <row r="15" spans="1:19" x14ac:dyDescent="0.25">
      <c r="A15" s="480"/>
      <c r="B15" s="98" t="s">
        <v>88</v>
      </c>
      <c r="C15" s="99" t="s">
        <v>41</v>
      </c>
      <c r="D15" s="100" t="s">
        <v>51</v>
      </c>
      <c r="E15" s="100" t="s">
        <v>72</v>
      </c>
      <c r="F15" s="100" t="s">
        <v>39</v>
      </c>
      <c r="G15" s="100" t="s">
        <v>40</v>
      </c>
      <c r="H15" s="100" t="s">
        <v>41</v>
      </c>
      <c r="J15" s="282"/>
      <c r="K15" s="285"/>
      <c r="L15" s="286"/>
      <c r="M15" s="286"/>
      <c r="N15" s="286"/>
      <c r="O15" s="286"/>
      <c r="P15" s="286"/>
      <c r="Q15" s="286"/>
      <c r="R15" s="281"/>
      <c r="S15" s="281"/>
    </row>
    <row r="16" spans="1:19" x14ac:dyDescent="0.25">
      <c r="A16" s="480" t="s">
        <v>75</v>
      </c>
      <c r="B16" s="91" t="s">
        <v>89</v>
      </c>
      <c r="C16" s="93" t="s">
        <v>39</v>
      </c>
      <c r="D16" s="93" t="s">
        <v>42</v>
      </c>
      <c r="E16" s="91" t="s">
        <v>72</v>
      </c>
      <c r="F16" s="93" t="s">
        <v>36</v>
      </c>
      <c r="G16" s="93" t="s">
        <v>37</v>
      </c>
      <c r="H16" s="93" t="s">
        <v>38</v>
      </c>
      <c r="J16" s="282"/>
      <c r="K16" s="285"/>
      <c r="L16" s="286"/>
      <c r="M16" s="286"/>
      <c r="N16" s="286"/>
      <c r="O16" s="286"/>
      <c r="P16" s="286"/>
      <c r="Q16" s="286"/>
      <c r="R16" s="281"/>
      <c r="S16" s="281"/>
    </row>
    <row r="17" spans="1:19" x14ac:dyDescent="0.25">
      <c r="A17" s="480"/>
      <c r="B17" s="94" t="s">
        <v>31</v>
      </c>
      <c r="C17" s="95" t="s">
        <v>42</v>
      </c>
      <c r="D17" s="96" t="s">
        <v>76</v>
      </c>
      <c r="E17" s="94" t="s">
        <v>72</v>
      </c>
      <c r="F17" s="96" t="s">
        <v>37</v>
      </c>
      <c r="G17" s="96" t="s">
        <v>39</v>
      </c>
      <c r="H17" s="96" t="s">
        <v>40</v>
      </c>
      <c r="J17" s="468"/>
      <c r="K17" s="469"/>
      <c r="L17" s="469"/>
      <c r="M17" s="469"/>
      <c r="N17" s="469"/>
      <c r="O17" s="469"/>
      <c r="P17" s="469"/>
      <c r="Q17" s="469"/>
      <c r="R17" s="281"/>
      <c r="S17" s="281"/>
    </row>
    <row r="18" spans="1:19" x14ac:dyDescent="0.25">
      <c r="A18" s="480"/>
      <c r="B18" s="94" t="s">
        <v>32</v>
      </c>
      <c r="C18" s="95" t="s">
        <v>43</v>
      </c>
      <c r="D18" s="96" t="s">
        <v>77</v>
      </c>
      <c r="E18" s="94" t="s">
        <v>72</v>
      </c>
      <c r="F18" s="96" t="s">
        <v>49</v>
      </c>
      <c r="G18" s="96" t="s">
        <v>54</v>
      </c>
      <c r="H18" s="96" t="s">
        <v>45</v>
      </c>
      <c r="J18" s="468"/>
      <c r="K18" s="469"/>
      <c r="L18" s="469"/>
      <c r="M18" s="469"/>
      <c r="N18" s="469"/>
      <c r="O18" s="469"/>
      <c r="P18" s="469"/>
      <c r="Q18" s="469"/>
      <c r="R18" s="281"/>
      <c r="S18" s="281"/>
    </row>
    <row r="19" spans="1:19" x14ac:dyDescent="0.25">
      <c r="A19" s="480"/>
      <c r="B19" s="98" t="s">
        <v>88</v>
      </c>
      <c r="C19" s="99" t="s">
        <v>78</v>
      </c>
      <c r="D19" s="100" t="s">
        <v>79</v>
      </c>
      <c r="E19" s="98" t="s">
        <v>72</v>
      </c>
      <c r="F19" s="100" t="s">
        <v>40</v>
      </c>
      <c r="G19" s="100" t="s">
        <v>45</v>
      </c>
      <c r="H19" s="100" t="s">
        <v>55</v>
      </c>
      <c r="J19" s="468"/>
      <c r="K19" s="469"/>
      <c r="L19" s="469"/>
      <c r="M19" s="469"/>
      <c r="N19" s="469"/>
      <c r="O19" s="469"/>
      <c r="P19" s="469"/>
      <c r="Q19" s="469"/>
      <c r="R19" s="281"/>
      <c r="S19" s="281"/>
    </row>
    <row r="20" spans="1:19" x14ac:dyDescent="0.25">
      <c r="A20" s="480" t="s">
        <v>80</v>
      </c>
      <c r="B20" s="91" t="s">
        <v>89</v>
      </c>
      <c r="C20" s="93" t="s">
        <v>44</v>
      </c>
      <c r="D20" s="93" t="s">
        <v>47</v>
      </c>
      <c r="E20" s="91" t="s">
        <v>72</v>
      </c>
      <c r="F20" s="93" t="s">
        <v>36</v>
      </c>
      <c r="G20" s="93" t="s">
        <v>38</v>
      </c>
      <c r="H20" s="93" t="s">
        <v>38</v>
      </c>
      <c r="J20" s="468"/>
      <c r="K20" s="469"/>
      <c r="L20" s="469"/>
      <c r="M20" s="469"/>
      <c r="N20" s="469"/>
      <c r="O20" s="469"/>
      <c r="P20" s="469"/>
      <c r="Q20" s="469"/>
      <c r="R20" s="281"/>
      <c r="S20" s="281"/>
    </row>
    <row r="21" spans="1:19" x14ac:dyDescent="0.25">
      <c r="A21" s="480"/>
      <c r="B21" s="94" t="s">
        <v>31</v>
      </c>
      <c r="C21" s="95" t="s">
        <v>45</v>
      </c>
      <c r="D21" s="96" t="s">
        <v>81</v>
      </c>
      <c r="E21" s="94" t="s">
        <v>72</v>
      </c>
      <c r="F21" s="96" t="s">
        <v>53</v>
      </c>
      <c r="G21" s="96" t="s">
        <v>44</v>
      </c>
      <c r="H21" s="96" t="s">
        <v>40</v>
      </c>
      <c r="J21" s="468"/>
      <c r="K21" s="468"/>
      <c r="L21" s="468"/>
      <c r="M21" s="468"/>
      <c r="N21" s="468"/>
      <c r="O21" s="468"/>
      <c r="P21" s="468"/>
      <c r="Q21" s="468"/>
      <c r="R21" s="281"/>
      <c r="S21" s="281"/>
    </row>
    <row r="22" spans="1:19" x14ac:dyDescent="0.25">
      <c r="A22" s="480"/>
      <c r="B22" s="94" t="s">
        <v>32</v>
      </c>
      <c r="C22" s="95" t="s">
        <v>82</v>
      </c>
      <c r="D22" s="96" t="s">
        <v>83</v>
      </c>
      <c r="E22" s="94" t="s">
        <v>72</v>
      </c>
      <c r="F22" s="96" t="s">
        <v>46</v>
      </c>
      <c r="G22" s="96" t="s">
        <v>41</v>
      </c>
      <c r="H22" s="96" t="s">
        <v>55</v>
      </c>
      <c r="J22" s="468"/>
      <c r="K22" s="468"/>
      <c r="L22" s="468"/>
      <c r="M22" s="468"/>
      <c r="N22" s="468"/>
      <c r="O22" s="468"/>
      <c r="P22" s="468"/>
      <c r="Q22" s="468"/>
      <c r="R22" s="281"/>
      <c r="S22" s="281"/>
    </row>
    <row r="23" spans="1:19" x14ac:dyDescent="0.25">
      <c r="A23" s="480"/>
      <c r="B23" s="98" t="s">
        <v>88</v>
      </c>
      <c r="C23" s="99" t="s">
        <v>84</v>
      </c>
      <c r="D23" s="100" t="s">
        <v>85</v>
      </c>
      <c r="E23" s="98" t="s">
        <v>72</v>
      </c>
      <c r="F23" s="100" t="s">
        <v>41</v>
      </c>
      <c r="G23" s="100" t="s">
        <v>43</v>
      </c>
      <c r="H23" s="100" t="s">
        <v>56</v>
      </c>
      <c r="J23" s="281"/>
      <c r="K23" s="281"/>
      <c r="L23" s="281"/>
      <c r="M23" s="281"/>
      <c r="N23" s="281"/>
      <c r="O23" s="281"/>
      <c r="P23" s="281"/>
      <c r="Q23" s="281"/>
      <c r="R23" s="281"/>
      <c r="S23" s="281"/>
    </row>
    <row r="24" spans="1:19" x14ac:dyDescent="0.25">
      <c r="J24" s="281"/>
      <c r="K24" s="281"/>
      <c r="L24" s="281"/>
      <c r="M24" s="281"/>
      <c r="N24" s="281"/>
      <c r="O24" s="281"/>
      <c r="P24" s="281"/>
      <c r="Q24" s="281"/>
      <c r="R24" s="281"/>
      <c r="S24" s="281"/>
    </row>
    <row r="25" spans="1:19" x14ac:dyDescent="0.25">
      <c r="J25" s="281"/>
      <c r="K25" s="281"/>
      <c r="L25" s="281"/>
      <c r="M25" s="281"/>
      <c r="N25" s="281"/>
      <c r="O25" s="281"/>
      <c r="P25" s="281"/>
      <c r="Q25" s="281"/>
      <c r="R25" s="281"/>
      <c r="S25" s="281"/>
    </row>
    <row r="26" spans="1:19" x14ac:dyDescent="0.25">
      <c r="J26" s="281"/>
      <c r="K26" s="281"/>
      <c r="L26" s="281"/>
      <c r="M26" s="281"/>
      <c r="N26" s="281"/>
      <c r="O26" s="281"/>
      <c r="P26" s="281"/>
      <c r="Q26" s="281"/>
      <c r="R26" s="281"/>
      <c r="S26" s="281"/>
    </row>
    <row r="27" spans="1:19" x14ac:dyDescent="0.25">
      <c r="A27" s="443"/>
      <c r="B27" s="359"/>
      <c r="C27" s="359"/>
      <c r="D27" s="359"/>
      <c r="E27" s="359"/>
      <c r="J27" s="281"/>
      <c r="K27" s="281"/>
      <c r="L27" s="281"/>
      <c r="M27" s="281"/>
      <c r="N27" s="281"/>
      <c r="O27" s="281"/>
      <c r="P27" s="281"/>
      <c r="Q27" s="281"/>
      <c r="R27" s="281"/>
      <c r="S27" s="281"/>
    </row>
    <row r="28" spans="1:19" x14ac:dyDescent="0.25">
      <c r="A28" s="8"/>
      <c r="B28" s="443"/>
      <c r="C28" s="481"/>
      <c r="D28" s="481"/>
      <c r="E28" s="481"/>
    </row>
    <row r="29" spans="1:19" x14ac:dyDescent="0.25">
      <c r="A29" s="8"/>
      <c r="B29" s="8"/>
      <c r="C29" s="8"/>
      <c r="D29" s="8"/>
      <c r="E29" s="8"/>
    </row>
    <row r="30" spans="1:19" ht="24.95" customHeight="1" x14ac:dyDescent="0.25">
      <c r="A30" s="8"/>
      <c r="B30" s="8"/>
      <c r="C30" s="8"/>
      <c r="D30" s="8"/>
      <c r="E30" s="8"/>
    </row>
    <row r="31" spans="1:19" ht="24.95" customHeight="1" x14ac:dyDescent="0.25">
      <c r="A31" s="8"/>
      <c r="B31" s="8"/>
      <c r="C31" s="8"/>
      <c r="D31" s="8"/>
      <c r="E31" s="8"/>
    </row>
    <row r="32" spans="1:19" ht="24.95" customHeight="1" x14ac:dyDescent="0.25">
      <c r="A32" s="8"/>
      <c r="B32" s="8"/>
      <c r="C32" s="8"/>
      <c r="D32" s="8"/>
      <c r="E32" s="8"/>
    </row>
    <row r="33" spans="1:5" ht="24.95" customHeight="1" x14ac:dyDescent="0.25">
      <c r="A33" s="8"/>
      <c r="B33" s="8"/>
      <c r="C33" s="8"/>
      <c r="D33" s="8"/>
      <c r="E33" s="8"/>
    </row>
    <row r="34" spans="1:5" ht="24.95" customHeight="1" x14ac:dyDescent="0.25">
      <c r="A34" s="8"/>
      <c r="B34" s="8"/>
      <c r="C34" s="8"/>
      <c r="D34" s="8"/>
      <c r="E34" s="8"/>
    </row>
    <row r="35" spans="1:5" ht="24.95" customHeight="1" x14ac:dyDescent="0.25">
      <c r="A35" s="8"/>
      <c r="B35" s="8"/>
      <c r="C35" s="8"/>
      <c r="D35" s="8"/>
      <c r="E35" s="8"/>
    </row>
    <row r="36" spans="1:5" ht="24.95" customHeight="1" x14ac:dyDescent="0.25">
      <c r="A36" s="8"/>
      <c r="B36" s="8"/>
      <c r="C36" s="8"/>
      <c r="D36" s="8"/>
      <c r="E36" s="8"/>
    </row>
    <row r="37" spans="1:5" ht="24.95" customHeight="1" x14ac:dyDescent="0.25">
      <c r="A37" s="8"/>
      <c r="B37" s="8"/>
      <c r="C37" s="8"/>
      <c r="D37" s="8"/>
      <c r="E37" s="8"/>
    </row>
    <row r="38" spans="1:5" ht="24.95" customHeight="1" x14ac:dyDescent="0.25">
      <c r="A38" s="8"/>
      <c r="B38" s="8"/>
      <c r="C38" s="8"/>
      <c r="D38" s="8"/>
      <c r="E38" s="8"/>
    </row>
    <row r="39" spans="1:5" ht="24.95" customHeight="1" x14ac:dyDescent="0.25">
      <c r="A39" s="8"/>
      <c r="B39" s="8"/>
      <c r="C39" s="8"/>
      <c r="D39" s="8"/>
      <c r="E39" s="8"/>
    </row>
  </sheetData>
  <sheetProtection password="C718" sheet="1" objects="1" scenarios="1" selectLockedCells="1"/>
  <mergeCells count="19">
    <mergeCell ref="A1:H1"/>
    <mergeCell ref="C2:E2"/>
    <mergeCell ref="F2:H2"/>
    <mergeCell ref="A27:E27"/>
    <mergeCell ref="B28:E28"/>
    <mergeCell ref="A4:A7"/>
    <mergeCell ref="A8:A11"/>
    <mergeCell ref="A12:A15"/>
    <mergeCell ref="A16:A19"/>
    <mergeCell ref="A20:A23"/>
    <mergeCell ref="J19:Q19"/>
    <mergeCell ref="J20:Q20"/>
    <mergeCell ref="J21:Q21"/>
    <mergeCell ref="J22:Q22"/>
    <mergeCell ref="J1:Q1"/>
    <mergeCell ref="J2:Q2"/>
    <mergeCell ref="K3:Q3"/>
    <mergeCell ref="J17:Q17"/>
    <mergeCell ref="J18:Q18"/>
  </mergeCells>
  <pageMargins left="0.5" right="0" top="0.75" bottom="0.25" header="0.3" footer="0.3"/>
  <pageSetup scale="125" orientation="portrait" r:id="rId1"/>
  <drawing r:id="rId2"/>
  <legacy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dimension ref="A1:H22"/>
  <sheetViews>
    <sheetView workbookViewId="0">
      <selection activeCell="F14" sqref="F14"/>
    </sheetView>
  </sheetViews>
  <sheetFormatPr defaultRowHeight="15" x14ac:dyDescent="0.25"/>
  <cols>
    <col min="1" max="8" width="7.7109375" customWidth="1"/>
  </cols>
  <sheetData>
    <row r="1" spans="1:8" x14ac:dyDescent="0.25">
      <c r="A1" s="470" t="s">
        <v>109</v>
      </c>
      <c r="B1" s="485"/>
      <c r="C1" s="485"/>
      <c r="D1" s="485"/>
      <c r="E1" s="485"/>
      <c r="F1" s="485"/>
      <c r="G1" s="485"/>
      <c r="H1" s="486"/>
    </row>
    <row r="2" spans="1:8" x14ac:dyDescent="0.25">
      <c r="A2" s="487" t="s">
        <v>99</v>
      </c>
      <c r="B2" s="488"/>
      <c r="C2" s="488"/>
      <c r="D2" s="488"/>
      <c r="E2" s="488"/>
      <c r="F2" s="488"/>
      <c r="G2" s="488"/>
      <c r="H2" s="489"/>
    </row>
    <row r="3" spans="1:8" x14ac:dyDescent="0.25">
      <c r="A3" s="36" t="s">
        <v>90</v>
      </c>
      <c r="B3" s="490" t="s">
        <v>100</v>
      </c>
      <c r="C3" s="491"/>
      <c r="D3" s="491"/>
      <c r="E3" s="491"/>
      <c r="F3" s="491"/>
      <c r="G3" s="491"/>
      <c r="H3" s="492"/>
    </row>
    <row r="4" spans="1:8" x14ac:dyDescent="0.25">
      <c r="A4" s="105" t="s">
        <v>101</v>
      </c>
      <c r="B4" s="101">
        <v>40</v>
      </c>
      <c r="C4" s="102">
        <v>45</v>
      </c>
      <c r="D4" s="102">
        <v>50</v>
      </c>
      <c r="E4" s="101">
        <v>55</v>
      </c>
      <c r="F4" s="102">
        <v>60</v>
      </c>
      <c r="G4" s="102">
        <v>65</v>
      </c>
      <c r="H4" s="102">
        <v>70</v>
      </c>
    </row>
    <row r="5" spans="1:8" x14ac:dyDescent="0.25">
      <c r="A5" s="89">
        <v>2950</v>
      </c>
      <c r="B5" s="103">
        <v>1.1000000000000001</v>
      </c>
      <c r="C5" s="104">
        <v>1.1000000000000001</v>
      </c>
      <c r="D5" s="104">
        <v>1.1000000000000001</v>
      </c>
      <c r="E5" s="103">
        <v>1.2</v>
      </c>
      <c r="F5" s="104">
        <v>1.2</v>
      </c>
      <c r="G5" s="104">
        <v>1.2</v>
      </c>
      <c r="H5" s="104">
        <v>1.2</v>
      </c>
    </row>
    <row r="6" spans="1:8" x14ac:dyDescent="0.25">
      <c r="A6" s="89">
        <v>2300</v>
      </c>
      <c r="B6" s="103">
        <v>1.1000000000000001</v>
      </c>
      <c r="C6" s="104">
        <v>1.1000000000000001</v>
      </c>
      <c r="D6" s="104">
        <v>1.2</v>
      </c>
      <c r="E6" s="103">
        <v>1.2</v>
      </c>
      <c r="F6" s="104">
        <v>1.2</v>
      </c>
      <c r="G6" s="104">
        <v>1.2</v>
      </c>
      <c r="H6" s="104">
        <v>1.3</v>
      </c>
    </row>
    <row r="7" spans="1:8" x14ac:dyDescent="0.25">
      <c r="A7" s="89">
        <v>1970</v>
      </c>
      <c r="B7" s="103">
        <v>1.1000000000000001</v>
      </c>
      <c r="C7" s="104">
        <v>1.2</v>
      </c>
      <c r="D7" s="104">
        <v>1.2</v>
      </c>
      <c r="E7" s="103">
        <v>1.2</v>
      </c>
      <c r="F7" s="104">
        <v>1.3</v>
      </c>
      <c r="G7" s="104">
        <v>1.3</v>
      </c>
      <c r="H7" s="104">
        <v>1.4</v>
      </c>
    </row>
    <row r="8" spans="1:8" x14ac:dyDescent="0.25">
      <c r="A8" s="89">
        <v>1640</v>
      </c>
      <c r="B8" s="103">
        <v>1.1000000000000001</v>
      </c>
      <c r="C8" s="104">
        <v>1.2</v>
      </c>
      <c r="D8" s="104">
        <v>1.2</v>
      </c>
      <c r="E8" s="103">
        <v>1.3</v>
      </c>
      <c r="F8" s="104">
        <v>1.3</v>
      </c>
      <c r="G8" s="104">
        <v>1.3</v>
      </c>
      <c r="H8" s="104">
        <v>1.4</v>
      </c>
    </row>
    <row r="9" spans="1:8" x14ac:dyDescent="0.25">
      <c r="A9" s="89">
        <v>1475</v>
      </c>
      <c r="B9" s="103">
        <v>1.2</v>
      </c>
      <c r="C9" s="104">
        <v>1.2</v>
      </c>
      <c r="D9" s="104">
        <v>1.3</v>
      </c>
      <c r="E9" s="103">
        <v>1.3</v>
      </c>
      <c r="F9" s="104">
        <v>1.4</v>
      </c>
      <c r="G9" s="104">
        <v>1.4</v>
      </c>
      <c r="H9" s="104">
        <v>1.5</v>
      </c>
    </row>
    <row r="10" spans="1:8" x14ac:dyDescent="0.25">
      <c r="A10" s="89">
        <v>1315</v>
      </c>
      <c r="B10" s="103">
        <v>1.2</v>
      </c>
      <c r="C10" s="104">
        <v>1.2</v>
      </c>
      <c r="D10" s="104">
        <v>1.3</v>
      </c>
      <c r="E10" s="103">
        <v>1.3</v>
      </c>
      <c r="F10" s="104">
        <v>1.4</v>
      </c>
      <c r="G10" s="104">
        <v>1.4</v>
      </c>
      <c r="H10" s="104" t="s">
        <v>153</v>
      </c>
    </row>
    <row r="11" spans="1:8" x14ac:dyDescent="0.25">
      <c r="A11" s="89">
        <v>1150</v>
      </c>
      <c r="B11" s="103">
        <v>1.2</v>
      </c>
      <c r="C11" s="104">
        <v>1.2</v>
      </c>
      <c r="D11" s="104">
        <v>1.3</v>
      </c>
      <c r="E11" s="103">
        <v>1.4</v>
      </c>
      <c r="F11" s="104">
        <v>1.5</v>
      </c>
      <c r="G11" s="104">
        <v>1.5</v>
      </c>
      <c r="H11" s="104" t="s">
        <v>153</v>
      </c>
    </row>
    <row r="12" spans="1:8" x14ac:dyDescent="0.25">
      <c r="A12" s="89">
        <v>985</v>
      </c>
      <c r="B12" s="103">
        <v>1.2</v>
      </c>
      <c r="C12" s="104">
        <v>1.3</v>
      </c>
      <c r="D12" s="104">
        <v>1.4</v>
      </c>
      <c r="E12" s="103">
        <v>1.5</v>
      </c>
      <c r="F12" s="104">
        <v>1.5</v>
      </c>
      <c r="G12" s="104">
        <v>1.5</v>
      </c>
      <c r="H12" s="104" t="s">
        <v>153</v>
      </c>
    </row>
    <row r="13" spans="1:8" x14ac:dyDescent="0.25">
      <c r="A13" s="89">
        <v>820</v>
      </c>
      <c r="B13" s="103">
        <v>1.3</v>
      </c>
      <c r="C13" s="104">
        <v>1.3</v>
      </c>
      <c r="D13" s="104">
        <v>1.4</v>
      </c>
      <c r="E13" s="103">
        <v>1.5</v>
      </c>
      <c r="F13" s="104" t="s">
        <v>153</v>
      </c>
      <c r="G13" s="104" t="s">
        <v>153</v>
      </c>
      <c r="H13" s="104" t="s">
        <v>153</v>
      </c>
    </row>
    <row r="14" spans="1:8" x14ac:dyDescent="0.25">
      <c r="A14" s="89">
        <v>660</v>
      </c>
      <c r="B14" s="103">
        <v>1.3</v>
      </c>
      <c r="C14" s="104">
        <v>1.4</v>
      </c>
      <c r="D14" s="104">
        <v>1.5</v>
      </c>
      <c r="E14" s="104" t="s">
        <v>153</v>
      </c>
      <c r="F14" s="104" t="s">
        <v>153</v>
      </c>
      <c r="G14" s="104" t="s">
        <v>153</v>
      </c>
      <c r="H14" s="104" t="s">
        <v>153</v>
      </c>
    </row>
    <row r="15" spans="1:8" x14ac:dyDescent="0.25">
      <c r="A15" s="89">
        <v>495</v>
      </c>
      <c r="B15" s="103">
        <v>1.4</v>
      </c>
      <c r="C15" s="104">
        <v>1.5</v>
      </c>
      <c r="D15" s="104" t="s">
        <v>153</v>
      </c>
      <c r="E15" s="104" t="s">
        <v>153</v>
      </c>
      <c r="F15" s="104" t="s">
        <v>153</v>
      </c>
      <c r="G15" s="104" t="s">
        <v>153</v>
      </c>
      <c r="H15" s="104" t="s">
        <v>153</v>
      </c>
    </row>
    <row r="16" spans="1:8" x14ac:dyDescent="0.25">
      <c r="A16" s="89">
        <v>330</v>
      </c>
      <c r="B16" s="103">
        <v>1.5</v>
      </c>
      <c r="C16" s="104" t="s">
        <v>153</v>
      </c>
      <c r="D16" s="104" t="s">
        <v>153</v>
      </c>
      <c r="E16" s="104" t="s">
        <v>153</v>
      </c>
      <c r="F16" s="104" t="s">
        <v>153</v>
      </c>
      <c r="G16" s="104" t="s">
        <v>153</v>
      </c>
      <c r="H16" s="104" t="s">
        <v>153</v>
      </c>
    </row>
    <row r="17" spans="1:8" x14ac:dyDescent="0.25">
      <c r="A17" s="493" t="s">
        <v>102</v>
      </c>
      <c r="B17" s="494"/>
      <c r="C17" s="494"/>
      <c r="D17" s="494"/>
      <c r="E17" s="494"/>
      <c r="F17" s="494"/>
      <c r="G17" s="494"/>
      <c r="H17" s="495"/>
    </row>
    <row r="18" spans="1:8" x14ac:dyDescent="0.25">
      <c r="A18" s="496" t="s">
        <v>152</v>
      </c>
      <c r="B18" s="469"/>
      <c r="C18" s="469"/>
      <c r="D18" s="469"/>
      <c r="E18" s="469"/>
      <c r="F18" s="469"/>
      <c r="G18" s="469"/>
      <c r="H18" s="497"/>
    </row>
    <row r="19" spans="1:8" x14ac:dyDescent="0.25">
      <c r="A19" s="496" t="s">
        <v>103</v>
      </c>
      <c r="B19" s="469"/>
      <c r="C19" s="469"/>
      <c r="D19" s="469"/>
      <c r="E19" s="469"/>
      <c r="F19" s="469"/>
      <c r="G19" s="469"/>
      <c r="H19" s="497"/>
    </row>
    <row r="20" spans="1:8" x14ac:dyDescent="0.25">
      <c r="A20" s="496" t="s">
        <v>104</v>
      </c>
      <c r="B20" s="469"/>
      <c r="C20" s="469"/>
      <c r="D20" s="469"/>
      <c r="E20" s="469"/>
      <c r="F20" s="469"/>
      <c r="G20" s="469"/>
      <c r="H20" s="497"/>
    </row>
    <row r="21" spans="1:8" x14ac:dyDescent="0.25">
      <c r="A21" s="496" t="s">
        <v>105</v>
      </c>
      <c r="B21" s="468"/>
      <c r="C21" s="468"/>
      <c r="D21" s="468"/>
      <c r="E21" s="468"/>
      <c r="F21" s="468"/>
      <c r="G21" s="468"/>
      <c r="H21" s="498"/>
    </row>
    <row r="22" spans="1:8" x14ac:dyDescent="0.25">
      <c r="A22" s="482" t="s">
        <v>106</v>
      </c>
      <c r="B22" s="483"/>
      <c r="C22" s="483"/>
      <c r="D22" s="483"/>
      <c r="E22" s="483"/>
      <c r="F22" s="483"/>
      <c r="G22" s="483"/>
      <c r="H22" s="484"/>
    </row>
  </sheetData>
  <sheetProtection algorithmName="SHA-512" hashValue="U2LkSYpVOFh8wn6C/cERMDKUVW31EhIwBNgmbW4RRo5qoqju+qpD2N8wFDcfTCYnLfckWCU24cB8lYKHeiUpfQ==" saltValue="6VTl1o7ZN+UNm+h7TeI1Gg==" spinCount="100000" sheet="1" objects="1" scenarios="1"/>
  <mergeCells count="9">
    <mergeCell ref="A22:H22"/>
    <mergeCell ref="A1:H1"/>
    <mergeCell ref="A2:H2"/>
    <mergeCell ref="B3:H3"/>
    <mergeCell ref="A17:H17"/>
    <mergeCell ref="A18:H18"/>
    <mergeCell ref="A19:H19"/>
    <mergeCell ref="A20:H20"/>
    <mergeCell ref="A21:H21"/>
  </mergeCells>
  <pageMargins left="0.7" right="0.7" top="0.75" bottom="0.75" header="0.3" footer="0.3"/>
  <pageSetup scale="125" orientation="portrait" horizontalDpi="1200" verticalDpi="1200"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4"/>
  <dimension ref="A2:E14"/>
  <sheetViews>
    <sheetView showGridLines="0" zoomScale="75" zoomScaleNormal="75" workbookViewId="0">
      <selection activeCell="L30" sqref="L30"/>
    </sheetView>
  </sheetViews>
  <sheetFormatPr defaultRowHeight="15" x14ac:dyDescent="0.25"/>
  <cols>
    <col min="1" max="2" width="25.710937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62" t="s">
        <v>142</v>
      </c>
      <c r="B2" s="467"/>
      <c r="C2" s="85"/>
      <c r="D2" s="85"/>
      <c r="E2" s="85"/>
    </row>
    <row r="3" spans="1:5" ht="24.95" customHeight="1" x14ac:dyDescent="0.25">
      <c r="A3" s="6" t="s">
        <v>2</v>
      </c>
      <c r="B3" s="6" t="s">
        <v>143</v>
      </c>
      <c r="C3" s="85"/>
      <c r="D3" s="85"/>
      <c r="E3" s="85"/>
    </row>
    <row r="4" spans="1:5" ht="24.95" customHeight="1" x14ac:dyDescent="0.25">
      <c r="A4" s="6" t="s">
        <v>3</v>
      </c>
      <c r="B4" s="6" t="s">
        <v>101</v>
      </c>
      <c r="C4" s="53"/>
      <c r="D4" s="84"/>
      <c r="E4" s="84"/>
    </row>
    <row r="5" spans="1:5" ht="24.95" customHeight="1" x14ac:dyDescent="0.25">
      <c r="A5" s="6">
        <v>30</v>
      </c>
      <c r="B5" s="6">
        <v>4</v>
      </c>
      <c r="C5" s="53"/>
      <c r="D5" s="84"/>
      <c r="E5" s="84"/>
    </row>
    <row r="6" spans="1:5" ht="24.95" customHeight="1" x14ac:dyDescent="0.25">
      <c r="A6" s="6">
        <v>35</v>
      </c>
      <c r="B6" s="6">
        <v>4.5</v>
      </c>
      <c r="C6" s="53"/>
      <c r="D6" s="84"/>
      <c r="E6" s="84"/>
    </row>
    <row r="7" spans="1:5" ht="24.95" customHeight="1" x14ac:dyDescent="0.25">
      <c r="A7" s="6">
        <v>40</v>
      </c>
      <c r="B7" s="6">
        <v>5</v>
      </c>
      <c r="C7" s="53"/>
      <c r="D7" s="84"/>
      <c r="E7" s="84"/>
    </row>
    <row r="8" spans="1:5" ht="24.95" customHeight="1" x14ac:dyDescent="0.25">
      <c r="A8" s="6">
        <v>45</v>
      </c>
      <c r="B8" s="6">
        <v>6</v>
      </c>
      <c r="C8" s="53"/>
      <c r="D8" s="84"/>
      <c r="E8" s="84"/>
    </row>
    <row r="9" spans="1:5" ht="24.95" customHeight="1" x14ac:dyDescent="0.25">
      <c r="A9" s="6">
        <v>50</v>
      </c>
      <c r="B9" s="6">
        <v>6.5</v>
      </c>
      <c r="C9" s="53"/>
      <c r="D9" s="84"/>
      <c r="E9" s="84"/>
    </row>
    <row r="10" spans="1:5" ht="24.95" customHeight="1" x14ac:dyDescent="0.25">
      <c r="A10" s="6">
        <v>55</v>
      </c>
      <c r="B10" s="6">
        <v>7</v>
      </c>
      <c r="C10" s="53"/>
      <c r="D10" s="84"/>
      <c r="E10" s="84"/>
    </row>
    <row r="11" spans="1:5" ht="24.95" customHeight="1" x14ac:dyDescent="0.25">
      <c r="A11" s="6">
        <v>60</v>
      </c>
      <c r="B11" s="6">
        <v>8</v>
      </c>
      <c r="C11" s="53"/>
      <c r="D11" s="84"/>
      <c r="E11" s="84"/>
    </row>
    <row r="12" spans="1:5" ht="24.95" customHeight="1" x14ac:dyDescent="0.25">
      <c r="A12" s="6">
        <v>65</v>
      </c>
      <c r="B12" s="6">
        <v>8.5</v>
      </c>
      <c r="C12" s="53"/>
      <c r="D12" s="84"/>
      <c r="E12" s="84"/>
    </row>
    <row r="13" spans="1:5" ht="24.95" customHeight="1" x14ac:dyDescent="0.25">
      <c r="A13" s="6">
        <v>70</v>
      </c>
      <c r="B13" s="6">
        <v>9</v>
      </c>
      <c r="C13" s="53"/>
      <c r="D13" s="84"/>
      <c r="E13" s="84"/>
    </row>
    <row r="14" spans="1:5" ht="24.95" customHeight="1" x14ac:dyDescent="0.25">
      <c r="A14" s="6">
        <v>80</v>
      </c>
      <c r="B14" s="6">
        <v>12</v>
      </c>
      <c r="C14" s="53"/>
      <c r="D14" s="84"/>
      <c r="E14" s="84"/>
    </row>
  </sheetData>
  <sheetProtection password="C718" sheet="1" objects="1" scenarios="1" selectLockedCells="1"/>
  <mergeCells count="1">
    <mergeCell ref="A2:B2"/>
  </mergeCells>
  <pageMargins left="0.5" right="0" top="0.75" bottom="0.25" header="0.3" footer="0.3"/>
  <pageSetup scale="125" fitToHeight="0" orientation="portrait" r:id="rId1"/>
  <drawing r:id="rId2"/>
  <legacyDrawing r:id="rId3"/>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
  <dimension ref="A2:E16"/>
  <sheetViews>
    <sheetView showGridLines="0" zoomScale="75" zoomScaleNormal="75" workbookViewId="0">
      <selection activeCell="L30" sqref="L30"/>
    </sheetView>
  </sheetViews>
  <sheetFormatPr defaultRowHeight="15" x14ac:dyDescent="0.25"/>
  <cols>
    <col min="1" max="1" width="18.28515625" style="1" customWidth="1"/>
    <col min="2" max="2" width="21.140625" style="1" customWidth="1"/>
    <col min="3"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62" t="s">
        <v>144</v>
      </c>
      <c r="B2" s="466"/>
      <c r="C2" s="466"/>
      <c r="D2" s="467"/>
      <c r="E2" s="85"/>
    </row>
    <row r="3" spans="1:5" ht="24.95" customHeight="1" x14ac:dyDescent="0.25">
      <c r="A3" s="499" t="s">
        <v>2</v>
      </c>
      <c r="B3" s="502" t="s">
        <v>146</v>
      </c>
      <c r="C3" s="505" t="s">
        <v>147</v>
      </c>
      <c r="D3" s="506"/>
      <c r="E3" s="85"/>
    </row>
    <row r="4" spans="1:5" ht="24.95" customHeight="1" x14ac:dyDescent="0.25">
      <c r="A4" s="500"/>
      <c r="B4" s="503"/>
      <c r="C4" s="507"/>
      <c r="D4" s="508"/>
      <c r="E4" s="85"/>
    </row>
    <row r="5" spans="1:5" ht="24.95" customHeight="1" x14ac:dyDescent="0.25">
      <c r="A5" s="501"/>
      <c r="B5" s="504"/>
      <c r="C5" s="5" t="s">
        <v>121</v>
      </c>
      <c r="D5" s="5" t="s">
        <v>145</v>
      </c>
      <c r="E5" s="85"/>
    </row>
    <row r="6" spans="1:5" ht="24.95" customHeight="1" x14ac:dyDescent="0.25">
      <c r="A6" s="6" t="s">
        <v>3</v>
      </c>
      <c r="B6" s="6" t="s">
        <v>101</v>
      </c>
      <c r="C6" s="6" t="s">
        <v>101</v>
      </c>
      <c r="D6" s="6" t="s">
        <v>101</v>
      </c>
      <c r="E6" s="84"/>
    </row>
    <row r="7" spans="1:5" ht="24.95" customHeight="1" x14ac:dyDescent="0.25">
      <c r="A7" s="6">
        <v>30</v>
      </c>
      <c r="B7" s="6">
        <v>13</v>
      </c>
      <c r="C7" s="6">
        <v>8</v>
      </c>
      <c r="D7" s="6">
        <v>7</v>
      </c>
      <c r="E7" s="84"/>
    </row>
    <row r="8" spans="1:5" ht="24.95" customHeight="1" x14ac:dyDescent="0.25">
      <c r="A8" s="6">
        <v>35</v>
      </c>
      <c r="B8" s="6">
        <v>14.5</v>
      </c>
      <c r="C8" s="6">
        <v>9</v>
      </c>
      <c r="D8" s="6">
        <v>7.5</v>
      </c>
      <c r="E8" s="84"/>
    </row>
    <row r="9" spans="1:5" ht="24.95" customHeight="1" x14ac:dyDescent="0.25">
      <c r="A9" s="6">
        <v>40</v>
      </c>
      <c r="B9" s="6">
        <v>16</v>
      </c>
      <c r="C9" s="6">
        <v>10</v>
      </c>
      <c r="D9" s="6">
        <v>8</v>
      </c>
      <c r="E9" s="84"/>
    </row>
    <row r="10" spans="1:5" ht="24.95" customHeight="1" x14ac:dyDescent="0.25">
      <c r="A10" s="6">
        <v>45</v>
      </c>
      <c r="B10" s="6">
        <v>18</v>
      </c>
      <c r="C10" s="6">
        <v>12</v>
      </c>
      <c r="D10" s="6">
        <v>10</v>
      </c>
      <c r="E10" s="84"/>
    </row>
    <row r="11" spans="1:5" ht="24.95" customHeight="1" x14ac:dyDescent="0.25">
      <c r="A11" s="6">
        <v>50</v>
      </c>
      <c r="B11" s="6">
        <v>21</v>
      </c>
      <c r="C11" s="6">
        <v>14</v>
      </c>
      <c r="D11" s="6">
        <v>11</v>
      </c>
      <c r="E11" s="84"/>
    </row>
    <row r="12" spans="1:5" ht="24.95" customHeight="1" x14ac:dyDescent="0.25">
      <c r="A12" s="6">
        <v>55</v>
      </c>
      <c r="B12" s="6">
        <v>24</v>
      </c>
      <c r="C12" s="6">
        <v>16</v>
      </c>
      <c r="D12" s="6">
        <v>12</v>
      </c>
      <c r="E12" s="84"/>
    </row>
    <row r="13" spans="1:5" ht="24.95" customHeight="1" x14ac:dyDescent="0.25">
      <c r="A13" s="6">
        <v>60</v>
      </c>
      <c r="B13" s="6">
        <v>26</v>
      </c>
      <c r="C13" s="6">
        <v>18</v>
      </c>
      <c r="D13" s="6">
        <v>14</v>
      </c>
      <c r="E13" s="84"/>
    </row>
    <row r="14" spans="1:5" ht="24.95" customHeight="1" x14ac:dyDescent="0.25">
      <c r="A14" s="6">
        <v>65</v>
      </c>
      <c r="B14" s="6">
        <v>28.5</v>
      </c>
      <c r="C14" s="6">
        <v>19</v>
      </c>
      <c r="D14" s="6">
        <v>14.5</v>
      </c>
      <c r="E14" s="84"/>
    </row>
    <row r="15" spans="1:5" ht="24.95" customHeight="1" x14ac:dyDescent="0.25">
      <c r="A15" s="6">
        <v>70</v>
      </c>
      <c r="B15" s="6">
        <v>30</v>
      </c>
      <c r="C15" s="6">
        <v>20</v>
      </c>
      <c r="D15" s="6">
        <v>15</v>
      </c>
      <c r="E15" s="84"/>
    </row>
    <row r="16" spans="1:5" ht="24.95" customHeight="1" x14ac:dyDescent="0.25">
      <c r="A16" s="6">
        <v>80</v>
      </c>
      <c r="B16" s="6">
        <v>30</v>
      </c>
      <c r="C16" s="6">
        <v>20</v>
      </c>
      <c r="D16" s="6">
        <v>15</v>
      </c>
      <c r="E16" s="84"/>
    </row>
  </sheetData>
  <sheetProtection password="C718" sheet="1" objects="1" scenarios="1" selectLockedCells="1"/>
  <mergeCells count="4">
    <mergeCell ref="A2:D2"/>
    <mergeCell ref="A3:A5"/>
    <mergeCell ref="B3:B5"/>
    <mergeCell ref="C3:D4"/>
  </mergeCells>
  <pageMargins left="0.5" right="0" top="0.75" bottom="0.25" header="0.3" footer="0.3"/>
  <pageSetup scale="125" fitToHeight="0" orientation="portrait" r:id="rId1"/>
  <drawing r:id="rId2"/>
  <legacyDrawing r:id="rId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2:E14"/>
  <sheetViews>
    <sheetView showGridLines="0" zoomScale="75" zoomScaleNormal="75" workbookViewId="0">
      <selection activeCell="L30" sqref="L30"/>
    </sheetView>
  </sheetViews>
  <sheetFormatPr defaultRowHeight="15" x14ac:dyDescent="0.25"/>
  <cols>
    <col min="1" max="5" width="14.7109375" style="1" customWidth="1"/>
    <col min="6" max="8" width="9.28515625" style="1" customWidth="1"/>
    <col min="9" max="9" width="14.7109375" style="1" customWidth="1"/>
    <col min="10" max="10" width="13.7109375" style="1" customWidth="1"/>
    <col min="11" max="14" width="20.7109375" style="1" customWidth="1"/>
    <col min="15" max="15" width="120.7109375" style="1" customWidth="1"/>
    <col min="16" max="16" width="9.140625" style="1"/>
    <col min="17" max="17" width="12.140625" style="1" bestFit="1" customWidth="1"/>
    <col min="18" max="19" width="9.140625" style="1"/>
    <col min="20" max="20" width="9.85546875" style="1" bestFit="1" customWidth="1"/>
    <col min="21" max="21" width="12.140625" style="1" bestFit="1" customWidth="1"/>
    <col min="22" max="16384" width="9.140625" style="1"/>
  </cols>
  <sheetData>
    <row r="2" spans="1:5" ht="24.95" customHeight="1" x14ac:dyDescent="0.25">
      <c r="A2" s="362" t="s">
        <v>4</v>
      </c>
      <c r="B2" s="363"/>
      <c r="C2" s="363"/>
      <c r="D2" s="363"/>
      <c r="E2" s="509"/>
    </row>
    <row r="3" spans="1:5" ht="24.95" customHeight="1" x14ac:dyDescent="0.25">
      <c r="A3" s="6" t="s">
        <v>2</v>
      </c>
      <c r="B3" s="362" t="s">
        <v>60</v>
      </c>
      <c r="C3" s="363"/>
      <c r="D3" s="363"/>
      <c r="E3" s="509"/>
    </row>
    <row r="4" spans="1:5" ht="24.95" customHeight="1" x14ac:dyDescent="0.25">
      <c r="A4" s="6" t="s">
        <v>3</v>
      </c>
      <c r="B4" s="6" t="s">
        <v>6</v>
      </c>
      <c r="C4" s="6" t="s">
        <v>5</v>
      </c>
      <c r="D4" s="6" t="s">
        <v>0</v>
      </c>
      <c r="E4" s="6" t="s">
        <v>7</v>
      </c>
    </row>
    <row r="5" spans="1:5" ht="24.95" customHeight="1" x14ac:dyDescent="0.25">
      <c r="A5" s="6">
        <v>30</v>
      </c>
      <c r="B5" s="6">
        <v>70</v>
      </c>
      <c r="C5" s="6">
        <v>80</v>
      </c>
      <c r="D5" s="6">
        <v>90</v>
      </c>
      <c r="E5" s="6">
        <v>110</v>
      </c>
    </row>
    <row r="6" spans="1:5" ht="24.95" customHeight="1" x14ac:dyDescent="0.25">
      <c r="A6" s="6">
        <v>35</v>
      </c>
      <c r="B6" s="6">
        <v>85</v>
      </c>
      <c r="C6" s="6">
        <v>95</v>
      </c>
      <c r="D6" s="6">
        <v>110</v>
      </c>
      <c r="E6" s="6">
        <v>135</v>
      </c>
    </row>
    <row r="7" spans="1:5" ht="24.95" customHeight="1" x14ac:dyDescent="0.25">
      <c r="A7" s="6">
        <v>40</v>
      </c>
      <c r="B7" s="6">
        <v>100</v>
      </c>
      <c r="C7" s="6">
        <v>110</v>
      </c>
      <c r="D7" s="6">
        <v>130</v>
      </c>
      <c r="E7" s="6">
        <v>160</v>
      </c>
    </row>
    <row r="8" spans="1:5" ht="24.95" customHeight="1" x14ac:dyDescent="0.25">
      <c r="A8" s="6">
        <v>45</v>
      </c>
      <c r="B8" s="6">
        <v>125</v>
      </c>
      <c r="C8" s="6">
        <v>135</v>
      </c>
      <c r="D8" s="6">
        <v>160</v>
      </c>
      <c r="E8" s="6">
        <v>195</v>
      </c>
    </row>
    <row r="9" spans="1:5" ht="24.95" customHeight="1" x14ac:dyDescent="0.25">
      <c r="A9" s="6">
        <v>50</v>
      </c>
      <c r="B9" s="6">
        <v>150</v>
      </c>
      <c r="C9" s="6">
        <v>160</v>
      </c>
      <c r="D9" s="6">
        <v>190</v>
      </c>
      <c r="E9" s="6">
        <v>230</v>
      </c>
    </row>
    <row r="10" spans="1:5" ht="24.95" customHeight="1" x14ac:dyDescent="0.25">
      <c r="A10" s="6">
        <v>55</v>
      </c>
      <c r="B10" s="6">
        <v>175</v>
      </c>
      <c r="C10" s="6">
        <v>185</v>
      </c>
      <c r="D10" s="6">
        <v>220</v>
      </c>
      <c r="E10" s="6">
        <v>265</v>
      </c>
    </row>
    <row r="11" spans="1:5" ht="24.95" customHeight="1" x14ac:dyDescent="0.25">
      <c r="A11" s="6">
        <v>60</v>
      </c>
      <c r="B11" s="6">
        <v>200</v>
      </c>
      <c r="C11" s="6">
        <v>210</v>
      </c>
      <c r="D11" s="6">
        <v>250</v>
      </c>
      <c r="E11" s="6">
        <v>300</v>
      </c>
    </row>
    <row r="12" spans="1:5" ht="24.95" customHeight="1" x14ac:dyDescent="0.25">
      <c r="A12" s="6">
        <v>65</v>
      </c>
      <c r="B12" s="6">
        <v>225</v>
      </c>
      <c r="C12" s="6">
        <v>250</v>
      </c>
      <c r="D12" s="6">
        <v>290</v>
      </c>
      <c r="E12" s="6">
        <v>330</v>
      </c>
    </row>
    <row r="13" spans="1:5" ht="24.95" customHeight="1" x14ac:dyDescent="0.25">
      <c r="A13" s="6">
        <v>70</v>
      </c>
      <c r="B13" s="6">
        <v>250</v>
      </c>
      <c r="C13" s="6">
        <v>290</v>
      </c>
      <c r="D13" s="6">
        <v>330</v>
      </c>
      <c r="E13" s="6">
        <v>360</v>
      </c>
    </row>
    <row r="14" spans="1:5" ht="24.95" customHeight="1" x14ac:dyDescent="0.25">
      <c r="A14" s="6">
        <v>80</v>
      </c>
      <c r="B14" s="6">
        <v>330</v>
      </c>
      <c r="C14" s="6">
        <v>380</v>
      </c>
      <c r="D14" s="6">
        <v>430</v>
      </c>
      <c r="E14" s="6">
        <v>470</v>
      </c>
    </row>
  </sheetData>
  <sheetProtection password="C718" sheet="1" objects="1" scenarios="1" selectLockedCells="1"/>
  <mergeCells count="2">
    <mergeCell ref="A2:E2"/>
    <mergeCell ref="B3:E3"/>
  </mergeCells>
  <pageMargins left="0.5" right="0" top="0.75" bottom="0.25" header="0.3" footer="0.3"/>
  <pageSetup scale="125" fitToHeight="0" orientation="portrait" r:id="rId1"/>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
  <dimension ref="A1"/>
  <sheetViews>
    <sheetView topLeftCell="A67" workbookViewId="0">
      <selection activeCell="L30" sqref="L30"/>
    </sheetView>
  </sheetViews>
  <sheetFormatPr defaultRowHeight="15" x14ac:dyDescent="0.25"/>
  <sheetData/>
  <sheetProtection password="C718" sheet="1" objects="1" scenarios="1"/>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10</vt:i4>
      </vt:variant>
      <vt:variant>
        <vt:lpstr>Named Ranges</vt:lpstr>
      </vt:variant>
      <vt:variant>
        <vt:i4>19</vt:i4>
      </vt:variant>
    </vt:vector>
  </HeadingPairs>
  <TitlesOfParts>
    <vt:vector size="29" baseType="lpstr">
      <vt:lpstr>GUARDRAIL LON</vt:lpstr>
      <vt:lpstr>AASHTO Figure 3-2</vt:lpstr>
      <vt:lpstr>FHWA Tables 2.1 and 2.2</vt:lpstr>
      <vt:lpstr>AASHTO Table 3.1</vt:lpstr>
      <vt:lpstr>AASHTO Table 3.2</vt:lpstr>
      <vt:lpstr>AASHTO Table 5-7</vt:lpstr>
      <vt:lpstr>AASHTO Table 5-9</vt:lpstr>
      <vt:lpstr>AASHTO Table 5-10 (b)</vt:lpstr>
      <vt:lpstr>MASH CRASHWORTHY END TERMINALS</vt:lpstr>
      <vt:lpstr>other information</vt:lpstr>
      <vt:lpstr>'GUARDRAIL LON'!_L2</vt:lpstr>
      <vt:lpstr>'GUARDRAIL LON'!_Rail</vt:lpstr>
      <vt:lpstr>'GUARDRAIL LON'!Adjacent_Flared_Rigid</vt:lpstr>
      <vt:lpstr>'GUARDRAIL LON'!Adjacent_Flared_Semi_Rigid</vt:lpstr>
      <vt:lpstr>'GUARDRAIL LON'!Adjacent_Parallel</vt:lpstr>
      <vt:lpstr>'GUARDRAIL LON'!ADT</vt:lpstr>
      <vt:lpstr>'GUARDRAIL LON'!Barrier</vt:lpstr>
      <vt:lpstr>'GUARDRAIL LON'!clear_zone</vt:lpstr>
      <vt:lpstr>'GUARDRAIL LON'!direction</vt:lpstr>
      <vt:lpstr>'GUARDRAIL LON'!La</vt:lpstr>
      <vt:lpstr>'GUARDRAIL LON'!Opposing_Flared_Rigid</vt:lpstr>
      <vt:lpstr>'GUARDRAIL LON'!Opposing_Flared_Semi_Rigid</vt:lpstr>
      <vt:lpstr>'GUARDRAIL LON'!Opposing_Parallel</vt:lpstr>
      <vt:lpstr>'GUARDRAIL LON'!Print_Area</vt:lpstr>
      <vt:lpstr>'GUARDRAIL LON'!RADIUS</vt:lpstr>
      <vt:lpstr>'GUARDRAIL LON'!slope</vt:lpstr>
      <vt:lpstr>'GUARDRAIL LON'!SPEED</vt:lpstr>
      <vt:lpstr>Type</vt:lpstr>
      <vt:lpstr>'GUARDRAIL LON'!YESNO</vt:lpstr>
    </vt:vector>
  </TitlesOfParts>
  <Company>MoDOT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Keith Smith</cp:lastModifiedBy>
  <cp:lastPrinted>2018-12-17T15:06:06Z</cp:lastPrinted>
  <dcterms:created xsi:type="dcterms:W3CDTF">2016-01-15T16:23:01Z</dcterms:created>
  <dcterms:modified xsi:type="dcterms:W3CDTF">2021-04-12T18:36:43Z</dcterms:modified>
</cp:coreProperties>
</file>